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fahaouas/OneDrive - ADIMEO GROUP/Formation Olfa MBA/Trnsformation Digitale des RH/Module Transformation/rendu/"/>
    </mc:Choice>
  </mc:AlternateContent>
  <xr:revisionPtr revIDLastSave="2" documentId="13_ncr:1_{DD3702EF-F792-4DB0-9541-206BE6E6F968}" xr6:coauthVersionLast="43" xr6:coauthVersionMax="43" xr10:uidLastSave="{5A4E8E6A-3DF8-474A-BCC3-E2B22135C28F}"/>
  <bookViews>
    <workbookView xWindow="0" yWindow="460" windowWidth="23260" windowHeight="14040" activeTab="2" xr2:uid="{00000000-000D-0000-FFFF-FFFF00000000}"/>
  </bookViews>
  <sheets>
    <sheet name="Coût d'un recrutement détaillé" sheetId="1" r:id="rId1"/>
    <sheet name="Synthèse coût recrutement" sheetId="2" r:id="rId2"/>
    <sheet name="Coût recrutement corrigé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3" l="1"/>
  <c r="D38" i="3"/>
  <c r="K37" i="3"/>
  <c r="I39" i="3" s="1"/>
  <c r="I37" i="3"/>
  <c r="I40" i="3" s="1"/>
  <c r="J33" i="1" s="1"/>
  <c r="K33" i="1" s="1"/>
  <c r="K34" i="1" s="1"/>
  <c r="G30" i="3"/>
  <c r="G27" i="3"/>
  <c r="B27" i="3"/>
  <c r="I26" i="3"/>
  <c r="D26" i="3"/>
  <c r="I25" i="3"/>
  <c r="D25" i="3"/>
  <c r="D24" i="3"/>
  <c r="I23" i="3"/>
  <c r="I27" i="3" s="1"/>
  <c r="K27" i="3" s="1"/>
  <c r="D23" i="3"/>
  <c r="D22" i="3"/>
  <c r="G21" i="3"/>
  <c r="D21" i="3"/>
  <c r="I20" i="3"/>
  <c r="D20" i="3"/>
  <c r="I19" i="3"/>
  <c r="D19" i="3"/>
  <c r="D27" i="3" s="1"/>
  <c r="I18" i="3"/>
  <c r="I21" i="3" s="1"/>
  <c r="D18" i="3"/>
  <c r="I13" i="3"/>
  <c r="C13" i="3"/>
  <c r="C14" i="3" s="1"/>
  <c r="I12" i="3"/>
  <c r="C11" i="3"/>
  <c r="C12" i="3" s="1"/>
  <c r="C10" i="3"/>
  <c r="D31" i="3" s="1"/>
  <c r="C9" i="3"/>
  <c r="I8" i="3"/>
  <c r="I9" i="3" s="1"/>
  <c r="I7" i="3"/>
  <c r="C44" i="3" s="1"/>
  <c r="C6" i="3"/>
  <c r="C7" i="3" s="1"/>
  <c r="J43" i="1"/>
  <c r="K43" i="1" s="1"/>
  <c r="J42" i="1"/>
  <c r="K42" i="1" s="1"/>
  <c r="E38" i="1"/>
  <c r="F38" i="1" s="1"/>
  <c r="E37" i="1"/>
  <c r="F37" i="1" s="1"/>
  <c r="E36" i="1"/>
  <c r="F36" i="1" s="1"/>
  <c r="J32" i="1"/>
  <c r="F27" i="1"/>
  <c r="E27" i="1"/>
  <c r="J23" i="1"/>
  <c r="K23" i="1" s="1"/>
  <c r="D12" i="1"/>
  <c r="E32" i="1" s="1"/>
  <c r="F32" i="1" s="1"/>
  <c r="D11" i="1"/>
  <c r="B11" i="1"/>
  <c r="B12" i="1" s="1"/>
  <c r="F7" i="1"/>
  <c r="E44" i="1" s="1"/>
  <c r="F44" i="1" s="1"/>
  <c r="B7" i="1"/>
  <c r="E43" i="1" s="1"/>
  <c r="F43" i="1" s="1"/>
  <c r="F6" i="1"/>
  <c r="D6" i="1"/>
  <c r="D7" i="1" s="1"/>
  <c r="B6" i="1"/>
  <c r="J19" i="1" l="1"/>
  <c r="K19" i="1" s="1"/>
  <c r="J18" i="1"/>
  <c r="K18" i="1" s="1"/>
  <c r="J17" i="1"/>
  <c r="K17" i="1" s="1"/>
  <c r="J16" i="1"/>
  <c r="K16" i="1" s="1"/>
  <c r="J15" i="1"/>
  <c r="K15" i="1" s="1"/>
  <c r="E19" i="1"/>
  <c r="F19" i="1" s="1"/>
  <c r="E17" i="1"/>
  <c r="F17" i="1" s="1"/>
  <c r="E23" i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E15" i="1"/>
  <c r="F15" i="1" s="1"/>
  <c r="D33" i="3"/>
  <c r="C33" i="3"/>
  <c r="D39" i="3"/>
  <c r="D40" i="3"/>
  <c r="E42" i="1"/>
  <c r="F42" i="1" s="1"/>
  <c r="F45" i="1" s="1"/>
  <c r="E25" i="1"/>
  <c r="F25" i="1" s="1"/>
  <c r="J21" i="1"/>
  <c r="K21" i="1" s="1"/>
  <c r="K24" i="1" s="1"/>
  <c r="D34" i="3"/>
  <c r="K44" i="1"/>
  <c r="E26" i="1"/>
  <c r="F26" i="1" s="1"/>
  <c r="H29" i="3"/>
  <c r="C31" i="3"/>
  <c r="J22" i="1"/>
  <c r="K22" i="1" s="1"/>
  <c r="E33" i="1"/>
  <c r="F33" i="1" s="1"/>
  <c r="F34" i="1" s="1"/>
  <c r="J36" i="1"/>
  <c r="K36" i="1" s="1"/>
  <c r="K38" i="1" s="1"/>
  <c r="K39" i="1" s="1"/>
  <c r="I29" i="3"/>
  <c r="I30" i="3" s="1"/>
  <c r="I33" i="3"/>
  <c r="J37" i="1"/>
  <c r="K37" i="1" s="1"/>
  <c r="E39" i="1"/>
  <c r="F39" i="1" s="1"/>
  <c r="F40" i="1" s="1"/>
  <c r="I32" i="3"/>
  <c r="D60" i="1" l="1"/>
  <c r="D53" i="1"/>
  <c r="F46" i="1"/>
  <c r="D42" i="3"/>
  <c r="E39" i="3"/>
  <c r="D54" i="1"/>
  <c r="D61" i="1"/>
  <c r="F28" i="1"/>
  <c r="F24" i="1"/>
  <c r="I34" i="3"/>
  <c r="B48" i="3" s="1"/>
  <c r="F48" i="3" s="1"/>
  <c r="K20" i="1"/>
  <c r="K26" i="1" s="1"/>
  <c r="D58" i="1" s="1"/>
  <c r="B47" i="3" l="1"/>
  <c r="F47" i="3" s="1"/>
  <c r="D59" i="1"/>
  <c r="D52" i="1"/>
  <c r="F29" i="1"/>
  <c r="D51" i="1" s="1"/>
  <c r="D55" i="1" s="1"/>
  <c r="D62" i="1"/>
</calcChain>
</file>

<file path=xl/sharedStrings.xml><?xml version="1.0" encoding="utf-8"?>
<sst xmlns="http://schemas.openxmlformats.org/spreadsheetml/2006/main" count="236" uniqueCount="143">
  <si>
    <t xml:space="preserve">Retour sur investissement </t>
  </si>
  <si>
    <t>Coût d'un mauvais recrutement sans cabinet de recrutement</t>
  </si>
  <si>
    <t>Personnes qui vont intervenir dans le processus de recrutement</t>
  </si>
  <si>
    <t>Pour calculer un Retour sur Investissement : Gain ou perte de l'investissement - coût de l'investissement/ Coût de l'investissement</t>
  </si>
  <si>
    <t>Montant</t>
  </si>
  <si>
    <t xml:space="preserve">Manager des ventes </t>
  </si>
  <si>
    <t>Chargé de recrutement</t>
  </si>
  <si>
    <t>Coût recrutement classique</t>
  </si>
  <si>
    <t>Directeur des Ventes</t>
  </si>
  <si>
    <t>Taux horaire moyen d'un chargé de recrutement</t>
  </si>
  <si>
    <t>Cabinet de recrutement</t>
  </si>
  <si>
    <t>Coût d'intégration</t>
  </si>
  <si>
    <t>Salaire mensuel moyen MV</t>
  </si>
  <si>
    <t xml:space="preserve">Taux horaire chargé </t>
  </si>
  <si>
    <t>Salaire moyen</t>
  </si>
  <si>
    <t>Salaire mensuel moyen MV chargé</t>
  </si>
  <si>
    <t>Taux horaire moyen MV</t>
  </si>
  <si>
    <t>Taux horaire moyen d'un DV</t>
  </si>
  <si>
    <t>Taux horaire moyen MV chargé</t>
  </si>
  <si>
    <t>Coût fin période d'essai</t>
  </si>
  <si>
    <t>Taux horaire horaire du Responsable</t>
  </si>
  <si>
    <t>Coût improductivité</t>
  </si>
  <si>
    <t>Estimation Taux horaire Directeur PH</t>
  </si>
  <si>
    <t>salaire mensuel moyen d'un Responsable Commercial</t>
  </si>
  <si>
    <t>Estimation Taux horaire chargé Directeur PH</t>
  </si>
  <si>
    <t>Salaire chargé d'un RC</t>
  </si>
  <si>
    <t>Taux horaire d'un gestionnaire de personnel</t>
  </si>
  <si>
    <t>Taux horaire chargé RC</t>
  </si>
  <si>
    <t>Taux horaire chargé d'un gestionnaire de personnel</t>
  </si>
  <si>
    <t>TOTAL</t>
  </si>
  <si>
    <t>Coût d'un recrutement classique sans cabinet</t>
  </si>
  <si>
    <t>Coût lié à l'intégration</t>
  </si>
  <si>
    <t>Durée</t>
  </si>
  <si>
    <t>Coût</t>
  </si>
  <si>
    <t>Salaire moyen chargé</t>
  </si>
  <si>
    <t>Taux horaire chargé 
Chargé de recrutement</t>
  </si>
  <si>
    <t>Intégration RH</t>
  </si>
  <si>
    <t xml:space="preserve">Durée </t>
  </si>
  <si>
    <t>Taux horaire chargé
Gest. Personnel</t>
  </si>
  <si>
    <t>Coût d'un mauvais recrutement avec cabinet de recrutement</t>
  </si>
  <si>
    <t>Coût recrutement avec cabinet de recrutement</t>
  </si>
  <si>
    <t>Taux horaire chargé</t>
  </si>
  <si>
    <t>Préparation du recrutement</t>
  </si>
  <si>
    <t>Gestion administrative ( contrat de travail et ADP)</t>
  </si>
  <si>
    <t>Responsable Commercial</t>
  </si>
  <si>
    <t>Gestionnaire de personnel</t>
  </si>
  <si>
    <t>Directeur Printemps Haussmann</t>
  </si>
  <si>
    <t>Définition du profil</t>
  </si>
  <si>
    <t>Accueil collaborateur à la RH</t>
  </si>
  <si>
    <t>Rédaction/ Diffusion de l'annonce</t>
  </si>
  <si>
    <t>temps passé du MV pour accueil</t>
  </si>
  <si>
    <t>Coût d'un recrutement 
classique sans cabinet</t>
  </si>
  <si>
    <t>Analyse et tri des candidatures</t>
  </si>
  <si>
    <t>Durée 
horaire</t>
  </si>
  <si>
    <t xml:space="preserve">Taux horaire chargé
du chargé de recrutement 
</t>
  </si>
  <si>
    <t>Entretien téléphonique avec les candidats</t>
  </si>
  <si>
    <t>Coût du Manager des Ventes</t>
  </si>
  <si>
    <t>Taux horaire chargé
Manager des ventes</t>
  </si>
  <si>
    <t>Entretien du candidat et du chargé de recrutement</t>
  </si>
  <si>
    <t>Présentation au service et RDV divers</t>
  </si>
  <si>
    <t>Coût d'un recrutement 
classique avec cabinet de recrutement</t>
  </si>
  <si>
    <t>Durée
 horaire</t>
  </si>
  <si>
    <t xml:space="preserve">Taux horaire chargé 
du chargé de recrutement 
</t>
  </si>
  <si>
    <t>Envoies des réponses négatives</t>
  </si>
  <si>
    <t>Estimation coût divers RDV en fonction des salaires des DV, MV et RH</t>
  </si>
  <si>
    <t>Choix du candidat ( Débriefs)</t>
  </si>
  <si>
    <t>Formation Tous retail</t>
  </si>
  <si>
    <t>Annonce du nouveau collaborateur</t>
  </si>
  <si>
    <t>Formation A la rencontre du Printemps</t>
  </si>
  <si>
    <t>Taux horaire chargé
DV</t>
  </si>
  <si>
    <t>Organisation du poste de travail</t>
  </si>
  <si>
    <t>Taux horaire chargé
Directeur des Ventes</t>
  </si>
  <si>
    <t>Total préparation recrutement</t>
  </si>
  <si>
    <t>Entretien avec le DV</t>
  </si>
  <si>
    <t>Coût d'improductivité</t>
  </si>
  <si>
    <t>salaire chargé</t>
  </si>
  <si>
    <t>Entretien de validation</t>
  </si>
  <si>
    <t>Taux horaire chargé
Directeur PH</t>
  </si>
  <si>
    <t>1 mois</t>
  </si>
  <si>
    <t>Entretien avec le RC ( taux horaire chargé)</t>
  </si>
  <si>
    <t>Entretien avec le Directeur PH</t>
  </si>
  <si>
    <t>Entretien avec le DV ( taux horaire chargé)</t>
  </si>
  <si>
    <t>Coût du poste vacant (6 à 8 semaine)</t>
  </si>
  <si>
    <t>Entretien avec le Directeur PH (taux horaire chargé)</t>
  </si>
  <si>
    <t>tâches effectuées par un autre MV en attendant le recrutement</t>
  </si>
  <si>
    <t>Coût d'un mauvais recrutement ( si fin de PE)</t>
  </si>
  <si>
    <t>Salaire chargé MV/ 
Gestionnaire de personnel</t>
  </si>
  <si>
    <t>Estimation du SDTC</t>
  </si>
  <si>
    <t>Total entretien de validation</t>
  </si>
  <si>
    <t>Prime fin année</t>
  </si>
  <si>
    <t>Période d'essai 4 renouvelable 2 mois</t>
  </si>
  <si>
    <t>entretiens de validation</t>
  </si>
  <si>
    <t>Total cabinet de recrutement</t>
  </si>
  <si>
    <t>RTT</t>
  </si>
  <si>
    <t>Procédure de rupture PE</t>
  </si>
  <si>
    <t>CP</t>
  </si>
  <si>
    <t>TOTAL Coût recrutement classique</t>
  </si>
  <si>
    <t>SDTC et remise SDTC</t>
  </si>
  <si>
    <t>TOTAL SDTC</t>
  </si>
  <si>
    <t>SDTC chargé</t>
  </si>
  <si>
    <t>Coût administratif lié à l'établissement</t>
  </si>
  <si>
    <t>Perte d'exploitation estimé à 1,5 fois le salaire chargé du MV</t>
  </si>
  <si>
    <t xml:space="preserve"> Perte d'exploitation liée à la valeur ajoutée non perçue par l’entreprise pendant toute la période « d’improductivité » du salarié. 
Ce coût correspond à la valeur ajoutée non perçue par l’entreprise par rapport à l’investissement réalisé. Ce coût peut être estimé au minimum à 1,5 fois  le salaire chargé d’un salarié. </t>
  </si>
  <si>
    <t>Coût total d'un recretement classique</t>
  </si>
  <si>
    <t>Avec fin de PE</t>
  </si>
  <si>
    <t>Coût total d'un recrutement avec un cabinet</t>
  </si>
  <si>
    <t>Déduire 1/3 du coût du cabinet recrutement lié à la rupture de PE</t>
  </si>
  <si>
    <t xml:space="preserve">Taux horaire chargé 
du Gestionnaire de Personnel 
</t>
  </si>
  <si>
    <t>Coût d'un mauvais
 recrutement 
( si fin de PE)</t>
  </si>
  <si>
    <t>Salaires</t>
  </si>
  <si>
    <t>Intégration par le service RH</t>
  </si>
  <si>
    <t>Paiement au MV</t>
  </si>
  <si>
    <t>Salaire pendant la période d'essai  : 4 mois + 2 mois</t>
  </si>
  <si>
    <t>6 mois</t>
  </si>
  <si>
    <t>Estimation du montant chargé du SDTC</t>
  </si>
  <si>
    <t>Total intégration RH</t>
  </si>
  <si>
    <t>Total paiement au MV</t>
  </si>
  <si>
    <t>Intégration du MV
dans son secteur</t>
  </si>
  <si>
    <t xml:space="preserve">Préparation du SDTC </t>
  </si>
  <si>
    <t>Coût adminstratif</t>
  </si>
  <si>
    <t>RDV avec le RC, MV et DV</t>
  </si>
  <si>
    <t>Total préparation SDTC</t>
  </si>
  <si>
    <t>Total coût si fin de PE</t>
  </si>
  <si>
    <t>Total intégration du MV dans son secteur</t>
  </si>
  <si>
    <t>Acceuil du MV 
dans son secteur</t>
  </si>
  <si>
    <t xml:space="preserve">Taux horaires chargés 
</t>
  </si>
  <si>
    <t>salaire chargé 
Manager des Ventes</t>
  </si>
  <si>
    <t>RDV avec le RC ( taux horaire chargé du RC)</t>
  </si>
  <si>
    <t>Présentation du secteur par le MV qui accueil ( taux horaire chargé du MV)</t>
  </si>
  <si>
    <t xml:space="preserve">Perte d'exploitation estimé </t>
  </si>
  <si>
    <t>1,5 mois</t>
  </si>
  <si>
    <t>RDV avec le DV ( taux horaire chargé du DV)</t>
  </si>
  <si>
    <t>TOTAL improductivité</t>
  </si>
  <si>
    <t>Total acceuil MV dans son secteur</t>
  </si>
  <si>
    <t xml:space="preserve"> </t>
  </si>
  <si>
    <t>Total coût d'intégration</t>
  </si>
  <si>
    <t xml:space="preserve">Perte d'exploitation liée à la valeur ajoutée non perçue par l’entreprise pendant toute la période « d’improductivité » du salarié. 
 </t>
  </si>
  <si>
    <t>Ce coût correspond à la valeur ajoutée non perçue par l’entreprise par rapport à l’investissement réalisé. Ce coût peut être estimé au minimum à 1,5 fois  le salaire chargé d’un salarié.</t>
  </si>
  <si>
    <t>Récapitulatif coût total d'un mauvais recrutement sans cabinet de recrutement</t>
  </si>
  <si>
    <t>Récapitulatif coût total d'un mauvais recrutement avec cabinet de recrutement</t>
  </si>
  <si>
    <t>COUT D'UN RECRUTEMENT DETAILLE</t>
  </si>
  <si>
    <t xml:space="preserve">SYNTHESE COUT D'UN RECRUTEMENT </t>
  </si>
  <si>
    <t>COUT D'UN RECRUTEMENT CORRIGE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</si>
</sst>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;[Red]\-#,##0.00\ &quot;€&quot;"/>
    <numFmt numFmtId="165" formatCode="0.00;[Red]0.00"/>
    <numFmt numFmtId="166" formatCode="#,##0.00\ &quot;€&quot;"/>
    <numFmt numFmtId="167" formatCode="#,##0.00;[Red]#,##0.00"/>
    <numFmt numFmtId="168" formatCode="#,##0.00\ &quot;€&quot;;[Red]#,##0.00\ &quot;€&quot;"/>
  </numFmts>
  <fonts count="9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b/>
      <i/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F4B083"/>
        <bgColor rgb="FFF4B083"/>
      </patternFill>
    </fill>
    <fill>
      <patternFill patternType="solid">
        <fgColor rgb="FFFF0066"/>
        <bgColor rgb="FFFF0066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9CC2E5"/>
        <bgColor rgb="FF9CC2E5"/>
      </patternFill>
    </fill>
    <fill>
      <patternFill patternType="solid">
        <fgColor theme="9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0" fillId="0" borderId="3" xfId="0" applyFont="1" applyBorder="1"/>
    <xf numFmtId="0" fontId="1" fillId="3" borderId="1" xfId="0" applyFont="1" applyFill="1" applyBorder="1"/>
    <xf numFmtId="165" fontId="0" fillId="0" borderId="0" xfId="0" applyNumberFormat="1" applyFont="1"/>
    <xf numFmtId="0" fontId="1" fillId="4" borderId="1" xfId="0" applyFont="1" applyFill="1" applyBorder="1"/>
    <xf numFmtId="166" fontId="0" fillId="0" borderId="4" xfId="0" applyNumberFormat="1" applyFont="1" applyBorder="1"/>
    <xf numFmtId="0" fontId="1" fillId="5" borderId="1" xfId="0" applyFont="1" applyFill="1" applyBorder="1"/>
    <xf numFmtId="0" fontId="0" fillId="0" borderId="5" xfId="0" applyFont="1" applyBorder="1"/>
    <xf numFmtId="0" fontId="0" fillId="0" borderId="6" xfId="0" applyFont="1" applyBorder="1"/>
    <xf numFmtId="166" fontId="0" fillId="0" borderId="7" xfId="0" applyNumberFormat="1" applyFont="1" applyBorder="1"/>
    <xf numFmtId="166" fontId="0" fillId="0" borderId="8" xfId="0" applyNumberFormat="1" applyFont="1" applyBorder="1" applyAlignment="1">
      <alignment horizontal="right"/>
    </xf>
    <xf numFmtId="0" fontId="0" fillId="0" borderId="9" xfId="0" applyFont="1" applyBorder="1"/>
    <xf numFmtId="166" fontId="0" fillId="0" borderId="10" xfId="0" applyNumberFormat="1" applyFont="1" applyBorder="1"/>
    <xf numFmtId="166" fontId="0" fillId="0" borderId="8" xfId="0" applyNumberFormat="1" applyFont="1" applyBorder="1"/>
    <xf numFmtId="0" fontId="3" fillId="0" borderId="0" xfId="0" applyFont="1" applyAlignment="1">
      <alignment horizontal="right"/>
    </xf>
    <xf numFmtId="164" fontId="0" fillId="0" borderId="8" xfId="0" applyNumberFormat="1" applyFont="1" applyBorder="1"/>
    <xf numFmtId="0" fontId="1" fillId="0" borderId="11" xfId="0" applyFont="1" applyBorder="1" applyAlignment="1">
      <alignment horizontal="center" vertical="center"/>
    </xf>
    <xf numFmtId="0" fontId="0" fillId="0" borderId="12" xfId="0" applyFont="1" applyBorder="1"/>
    <xf numFmtId="0" fontId="1" fillId="0" borderId="13" xfId="0" applyFont="1" applyBorder="1" applyAlignment="1">
      <alignment horizontal="center" vertical="center" wrapText="1"/>
    </xf>
    <xf numFmtId="166" fontId="3" fillId="0" borderId="14" xfId="0" applyNumberFormat="1" applyFont="1" applyBorder="1"/>
    <xf numFmtId="0" fontId="1" fillId="0" borderId="0" xfId="0" applyFont="1" applyAlignment="1">
      <alignment vertical="center"/>
    </xf>
    <xf numFmtId="166" fontId="0" fillId="0" borderId="15" xfId="0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166" fontId="0" fillId="0" borderId="15" xfId="0" applyNumberFormat="1" applyFont="1" applyBorder="1"/>
    <xf numFmtId="166" fontId="0" fillId="0" borderId="0" xfId="0" applyNumberFormat="1" applyFont="1"/>
    <xf numFmtId="0" fontId="1" fillId="0" borderId="17" xfId="0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/>
    </xf>
    <xf numFmtId="0" fontId="0" fillId="0" borderId="15" xfId="0" applyFont="1" applyBorder="1"/>
    <xf numFmtId="166" fontId="3" fillId="0" borderId="14" xfId="0" applyNumberFormat="1" applyFont="1" applyBorder="1" applyAlignment="1">
      <alignment horizontal="center"/>
    </xf>
    <xf numFmtId="0" fontId="0" fillId="0" borderId="18" xfId="0" applyFont="1" applyBorder="1"/>
    <xf numFmtId="0" fontId="1" fillId="0" borderId="19" xfId="0" applyFont="1" applyBorder="1" applyAlignment="1">
      <alignment horizontal="center" vertical="center"/>
    </xf>
    <xf numFmtId="166" fontId="0" fillId="0" borderId="20" xfId="0" applyNumberFormat="1" applyFont="1" applyBorder="1" applyAlignment="1">
      <alignment horizontal="right"/>
    </xf>
    <xf numFmtId="0" fontId="0" fillId="0" borderId="13" xfId="0" applyFont="1" applyBorder="1"/>
    <xf numFmtId="166" fontId="0" fillId="0" borderId="20" xfId="0" applyNumberFormat="1" applyFont="1" applyBorder="1"/>
    <xf numFmtId="0" fontId="0" fillId="0" borderId="11" xfId="0" applyFont="1" applyBorder="1" applyAlignment="1">
      <alignment horizontal="center"/>
    </xf>
    <xf numFmtId="0" fontId="0" fillId="0" borderId="20" xfId="0" applyFont="1" applyBorder="1"/>
    <xf numFmtId="165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right"/>
    </xf>
    <xf numFmtId="0" fontId="0" fillId="0" borderId="21" xfId="0" applyFont="1" applyBorder="1"/>
    <xf numFmtId="0" fontId="1" fillId="6" borderId="1" xfId="0" applyFont="1" applyFill="1" applyBorder="1"/>
    <xf numFmtId="0" fontId="0" fillId="0" borderId="22" xfId="0" applyFont="1" applyBorder="1" applyAlignment="1">
      <alignment horizontal="center"/>
    </xf>
    <xf numFmtId="0" fontId="1" fillId="7" borderId="1" xfId="0" applyFont="1" applyFill="1" applyBorder="1"/>
    <xf numFmtId="165" fontId="0" fillId="0" borderId="23" xfId="0" applyNumberFormat="1" applyFont="1" applyBorder="1"/>
    <xf numFmtId="0" fontId="1" fillId="8" borderId="1" xfId="0" applyFont="1" applyFill="1" applyBorder="1"/>
    <xf numFmtId="0" fontId="0" fillId="0" borderId="24" xfId="0" applyFont="1" applyBorder="1"/>
    <xf numFmtId="0" fontId="0" fillId="0" borderId="13" xfId="0" applyFont="1" applyBorder="1" applyAlignment="1">
      <alignment horizontal="center"/>
    </xf>
    <xf numFmtId="165" fontId="0" fillId="0" borderId="25" xfId="0" applyNumberFormat="1" applyFont="1" applyBorder="1"/>
    <xf numFmtId="0" fontId="0" fillId="0" borderId="26" xfId="0" applyFont="1" applyBorder="1"/>
    <xf numFmtId="0" fontId="0" fillId="0" borderId="0" xfId="0" applyFont="1"/>
    <xf numFmtId="0" fontId="0" fillId="0" borderId="27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165" fontId="0" fillId="0" borderId="28" xfId="0" applyNumberFormat="1" applyFont="1" applyBorder="1"/>
    <xf numFmtId="0" fontId="0" fillId="0" borderId="0" xfId="0" applyFont="1" applyAlignment="1">
      <alignment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165" fontId="0" fillId="0" borderId="13" xfId="0" applyNumberFormat="1" applyFont="1" applyBorder="1" applyAlignment="1">
      <alignment horizontal="center"/>
    </xf>
    <xf numFmtId="0" fontId="0" fillId="0" borderId="32" xfId="0" applyFont="1" applyBorder="1" applyAlignment="1">
      <alignment horizontal="center" vertical="center"/>
    </xf>
    <xf numFmtId="165" fontId="1" fillId="0" borderId="0" xfId="0" applyNumberFormat="1" applyFont="1"/>
    <xf numFmtId="166" fontId="0" fillId="0" borderId="3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29" xfId="0" applyFont="1" applyBorder="1"/>
    <xf numFmtId="166" fontId="0" fillId="0" borderId="13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165" fontId="0" fillId="0" borderId="30" xfId="0" applyNumberFormat="1" applyFont="1" applyBorder="1" applyAlignment="1">
      <alignment horizontal="center"/>
    </xf>
    <xf numFmtId="165" fontId="0" fillId="0" borderId="31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165" fontId="1" fillId="0" borderId="13" xfId="0" applyNumberFormat="1" applyFont="1" applyBorder="1" applyAlignment="1">
      <alignment vertical="center"/>
    </xf>
    <xf numFmtId="166" fontId="0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34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top"/>
    </xf>
    <xf numFmtId="0" fontId="4" fillId="0" borderId="29" xfId="0" applyFont="1" applyBorder="1" applyAlignment="1">
      <alignment horizontal="center" vertical="center"/>
    </xf>
    <xf numFmtId="165" fontId="0" fillId="0" borderId="13" xfId="0" applyNumberFormat="1" applyFont="1" applyBorder="1"/>
    <xf numFmtId="166" fontId="4" fillId="0" borderId="3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0" xfId="0" applyFont="1"/>
    <xf numFmtId="0" fontId="0" fillId="0" borderId="32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6" fontId="4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6" fontId="4" fillId="0" borderId="19" xfId="0" applyNumberFormat="1" applyFont="1" applyBorder="1" applyAlignment="1">
      <alignment horizontal="center" vertical="center"/>
    </xf>
    <xf numFmtId="0" fontId="1" fillId="0" borderId="13" xfId="0" applyFont="1" applyBorder="1"/>
    <xf numFmtId="0" fontId="0" fillId="0" borderId="32" xfId="0" applyFont="1" applyBorder="1"/>
    <xf numFmtId="164" fontId="4" fillId="0" borderId="29" xfId="0" applyNumberFormat="1" applyFont="1" applyBorder="1" applyAlignment="1">
      <alignment horizontal="center"/>
    </xf>
    <xf numFmtId="167" fontId="1" fillId="0" borderId="32" xfId="0" applyNumberFormat="1" applyFont="1" applyBorder="1"/>
    <xf numFmtId="164" fontId="4" fillId="0" borderId="31" xfId="0" applyNumberFormat="1" applyFont="1" applyBorder="1"/>
    <xf numFmtId="165" fontId="1" fillId="0" borderId="13" xfId="0" applyNumberFormat="1" applyFont="1" applyBorder="1"/>
    <xf numFmtId="166" fontId="3" fillId="0" borderId="35" xfId="0" applyNumberFormat="1" applyFont="1" applyBorder="1" applyAlignment="1">
      <alignment horizontal="center" vertical="center"/>
    </xf>
    <xf numFmtId="167" fontId="1" fillId="0" borderId="0" xfId="0" applyNumberFormat="1" applyFont="1"/>
    <xf numFmtId="166" fontId="3" fillId="0" borderId="36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168" fontId="3" fillId="0" borderId="0" xfId="0" applyNumberFormat="1" applyFont="1" applyAlignment="1">
      <alignment horizontal="left"/>
    </xf>
    <xf numFmtId="166" fontId="3" fillId="0" borderId="29" xfId="0" applyNumberFormat="1" applyFont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4" xfId="0" applyFont="1" applyBorder="1" applyAlignment="1">
      <alignment horizontal="center" vertical="center"/>
    </xf>
    <xf numFmtId="166" fontId="0" fillId="0" borderId="37" xfId="0" applyNumberFormat="1" applyFont="1" applyBorder="1" applyAlignment="1">
      <alignment horizontal="center" vertical="center"/>
    </xf>
    <xf numFmtId="166" fontId="0" fillId="0" borderId="23" xfId="0" applyNumberFormat="1" applyFont="1" applyBorder="1" applyAlignment="1">
      <alignment horizontal="center" vertical="center"/>
    </xf>
    <xf numFmtId="166" fontId="0" fillId="0" borderId="22" xfId="0" applyNumberFormat="1" applyFont="1" applyBorder="1" applyAlignment="1">
      <alignment horizontal="center"/>
    </xf>
    <xf numFmtId="166" fontId="0" fillId="0" borderId="23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166" fontId="0" fillId="0" borderId="38" xfId="0" applyNumberFormat="1" applyFont="1" applyBorder="1" applyAlignment="1">
      <alignment horizontal="center" vertical="center"/>
    </xf>
    <xf numFmtId="166" fontId="0" fillId="0" borderId="39" xfId="0" applyNumberFormat="1" applyFont="1" applyBorder="1" applyAlignment="1">
      <alignment horizontal="center" vertical="center"/>
    </xf>
    <xf numFmtId="0" fontId="0" fillId="0" borderId="27" xfId="0" applyFont="1" applyBorder="1"/>
    <xf numFmtId="166" fontId="0" fillId="0" borderId="27" xfId="0" applyNumberFormat="1" applyFont="1" applyBorder="1" applyAlignment="1">
      <alignment horizontal="center"/>
    </xf>
    <xf numFmtId="166" fontId="0" fillId="0" borderId="28" xfId="0" applyNumberFormat="1" applyFont="1" applyBorder="1" applyAlignment="1">
      <alignment horizontal="center"/>
    </xf>
    <xf numFmtId="166" fontId="4" fillId="0" borderId="29" xfId="0" applyNumberFormat="1" applyFont="1" applyBorder="1" applyAlignment="1">
      <alignment horizontal="center" vertical="center"/>
    </xf>
    <xf numFmtId="166" fontId="4" fillId="0" borderId="40" xfId="0" applyNumberFormat="1" applyFont="1" applyBorder="1" applyAlignment="1">
      <alignment horizontal="center" vertical="center"/>
    </xf>
    <xf numFmtId="166" fontId="4" fillId="0" borderId="4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166" fontId="0" fillId="0" borderId="37" xfId="0" applyNumberFormat="1" applyFont="1" applyBorder="1" applyAlignment="1">
      <alignment horizontal="center"/>
    </xf>
    <xf numFmtId="0" fontId="1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166" fontId="0" fillId="0" borderId="22" xfId="0" applyNumberFormat="1" applyFont="1" applyBorder="1" applyAlignment="1">
      <alignment horizontal="center" vertical="center"/>
    </xf>
    <xf numFmtId="166" fontId="1" fillId="0" borderId="23" xfId="0" applyNumberFormat="1" applyFont="1" applyBorder="1" applyAlignment="1">
      <alignment horizontal="center" vertical="center"/>
    </xf>
    <xf numFmtId="4" fontId="0" fillId="0" borderId="0" xfId="0" applyNumberFormat="1" applyFont="1"/>
    <xf numFmtId="0" fontId="0" fillId="0" borderId="7" xfId="0" applyFont="1" applyBorder="1" applyAlignment="1">
      <alignment horizontal="center"/>
    </xf>
    <xf numFmtId="166" fontId="0" fillId="0" borderId="43" xfId="0" applyNumberFormat="1" applyFont="1" applyBorder="1" applyAlignment="1">
      <alignment horizontal="center"/>
    </xf>
    <xf numFmtId="0" fontId="1" fillId="0" borderId="26" xfId="0" applyFont="1" applyBorder="1"/>
    <xf numFmtId="0" fontId="0" fillId="0" borderId="27" xfId="0" applyFont="1" applyBorder="1" applyAlignment="1">
      <alignment horizontal="center" vertical="center"/>
    </xf>
    <xf numFmtId="166" fontId="1" fillId="0" borderId="3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165" fontId="4" fillId="0" borderId="1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66" fontId="0" fillId="0" borderId="38" xfId="0" applyNumberFormat="1" applyFont="1" applyBorder="1" applyAlignment="1">
      <alignment horizontal="center"/>
    </xf>
    <xf numFmtId="165" fontId="0" fillId="0" borderId="39" xfId="0" applyNumberFormat="1" applyFont="1" applyBorder="1"/>
    <xf numFmtId="0" fontId="3" fillId="0" borderId="29" xfId="0" applyFont="1" applyBorder="1" applyAlignment="1">
      <alignment horizontal="center"/>
    </xf>
    <xf numFmtId="166" fontId="3" fillId="0" borderId="31" xfId="0" applyNumberFormat="1" applyFont="1" applyBorder="1"/>
    <xf numFmtId="0" fontId="0" fillId="0" borderId="0" xfId="0" applyFont="1" applyAlignment="1">
      <alignment horizontal="center"/>
    </xf>
    <xf numFmtId="0" fontId="4" fillId="0" borderId="29" xfId="0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166" fontId="6" fillId="0" borderId="37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 applyAlignment="1">
      <alignment horizontal="center"/>
    </xf>
    <xf numFmtId="166" fontId="6" fillId="0" borderId="43" xfId="0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0" fontId="0" fillId="0" borderId="10" xfId="0" applyFont="1" applyBorder="1"/>
    <xf numFmtId="0" fontId="0" fillId="0" borderId="26" xfId="0" applyFont="1" applyBorder="1" applyAlignment="1">
      <alignment horizontal="center"/>
    </xf>
    <xf numFmtId="166" fontId="0" fillId="0" borderId="39" xfId="0" applyNumberFormat="1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166" fontId="6" fillId="0" borderId="44" xfId="0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0" fontId="2" fillId="0" borderId="45" xfId="0" applyFont="1" applyBorder="1" applyAlignment="1">
      <alignment wrapText="1"/>
    </xf>
    <xf numFmtId="0" fontId="3" fillId="0" borderId="29" xfId="0" applyFont="1" applyBorder="1" applyAlignment="1">
      <alignment horizontal="center" wrapText="1"/>
    </xf>
    <xf numFmtId="166" fontId="3" fillId="0" borderId="31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166" fontId="4" fillId="0" borderId="35" xfId="0" applyNumberFormat="1" applyFont="1" applyBorder="1" applyAlignment="1">
      <alignment horizontal="center"/>
    </xf>
    <xf numFmtId="165" fontId="4" fillId="0" borderId="36" xfId="0" applyNumberFormat="1" applyFont="1" applyBorder="1" applyAlignment="1">
      <alignment horizontal="center"/>
    </xf>
    <xf numFmtId="166" fontId="3" fillId="0" borderId="29" xfId="0" applyNumberFormat="1" applyFont="1" applyBorder="1" applyAlignment="1">
      <alignment horizontal="center"/>
    </xf>
    <xf numFmtId="165" fontId="3" fillId="0" borderId="31" xfId="0" applyNumberFormat="1" applyFont="1" applyBorder="1" applyAlignment="1">
      <alignment horizontal="center"/>
    </xf>
    <xf numFmtId="0" fontId="0" fillId="0" borderId="0" xfId="0" applyFont="1" applyAlignment="1">
      <alignment wrapText="1"/>
    </xf>
    <xf numFmtId="0" fontId="1" fillId="0" borderId="46" xfId="0" applyFont="1" applyBorder="1" applyAlignment="1">
      <alignment horizontal="center"/>
    </xf>
    <xf numFmtId="0" fontId="1" fillId="0" borderId="21" xfId="0" applyFont="1" applyBorder="1"/>
    <xf numFmtId="166" fontId="0" fillId="0" borderId="23" xfId="0" applyNumberFormat="1" applyFont="1" applyBorder="1"/>
    <xf numFmtId="0" fontId="1" fillId="0" borderId="24" xfId="0" applyFont="1" applyBorder="1"/>
    <xf numFmtId="166" fontId="0" fillId="0" borderId="25" xfId="0" applyNumberFormat="1" applyFont="1" applyBorder="1"/>
    <xf numFmtId="166" fontId="0" fillId="0" borderId="28" xfId="0" applyNumberFormat="1" applyFont="1" applyBorder="1"/>
    <xf numFmtId="166" fontId="3" fillId="0" borderId="46" xfId="0" applyNumberFormat="1" applyFont="1" applyBorder="1"/>
    <xf numFmtId="0" fontId="1" fillId="0" borderId="4" xfId="0" applyFont="1" applyBorder="1"/>
    <xf numFmtId="0" fontId="1" fillId="0" borderId="7" xfId="0" applyFont="1" applyBorder="1"/>
    <xf numFmtId="165" fontId="0" fillId="0" borderId="7" xfId="0" applyNumberFormat="1" applyFont="1" applyBorder="1"/>
    <xf numFmtId="0" fontId="1" fillId="0" borderId="10" xfId="0" applyFont="1" applyBorder="1"/>
    <xf numFmtId="0" fontId="7" fillId="0" borderId="0" xfId="0" applyFont="1" applyAlignment="1"/>
    <xf numFmtId="0" fontId="8" fillId="0" borderId="0" xfId="0" applyFont="1" applyFill="1" applyAlignment="1"/>
    <xf numFmtId="0" fontId="8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8" fillId="9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K1"/>
    </sheetView>
  </sheetViews>
  <sheetFormatPr baseColWidth="10" defaultColWidth="14.5" defaultRowHeight="15" customHeight="1" x14ac:dyDescent="0.2"/>
  <cols>
    <col min="1" max="1" width="24.1640625" customWidth="1"/>
    <col min="2" max="2" width="9.6640625" customWidth="1"/>
    <col min="3" max="3" width="66.1640625" customWidth="1"/>
    <col min="4" max="4" width="11.5" customWidth="1"/>
    <col min="5" max="5" width="38" customWidth="1"/>
    <col min="6" max="6" width="10.6640625" customWidth="1"/>
    <col min="7" max="7" width="23.5" customWidth="1"/>
    <col min="8" max="8" width="46.1640625" customWidth="1"/>
    <col min="9" max="9" width="8.5" customWidth="1"/>
    <col min="10" max="10" width="31.1640625" customWidth="1"/>
    <col min="11" max="11" width="12.1640625" customWidth="1"/>
    <col min="12" max="26" width="10.6640625" customWidth="1"/>
  </cols>
  <sheetData>
    <row r="1" spans="1:26" ht="15" customHeight="1" x14ac:dyDescent="0.2">
      <c r="A1" s="190" t="s">
        <v>140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26" x14ac:dyDescent="0.2">
      <c r="A2" s="1" t="s">
        <v>2</v>
      </c>
      <c r="E2" s="187"/>
    </row>
    <row r="3" spans="1:26" x14ac:dyDescent="0.2">
      <c r="A3" s="1"/>
    </row>
    <row r="4" spans="1:26" x14ac:dyDescent="0.2">
      <c r="A4" s="3" t="s">
        <v>5</v>
      </c>
      <c r="C4" s="6" t="s">
        <v>6</v>
      </c>
      <c r="E4" s="8" t="s">
        <v>8</v>
      </c>
      <c r="G4" s="10" t="s">
        <v>10</v>
      </c>
    </row>
    <row r="5" spans="1:26" x14ac:dyDescent="0.2">
      <c r="A5" s="12" t="s">
        <v>14</v>
      </c>
      <c r="B5" s="14">
        <v>2800</v>
      </c>
      <c r="C5" s="12" t="s">
        <v>14</v>
      </c>
      <c r="D5" s="17">
        <v>3000</v>
      </c>
      <c r="E5" s="12" t="s">
        <v>14</v>
      </c>
      <c r="F5" s="17">
        <v>15000</v>
      </c>
      <c r="G5" s="12" t="s">
        <v>33</v>
      </c>
      <c r="H5" s="19">
        <v>6000</v>
      </c>
    </row>
    <row r="6" spans="1:26" x14ac:dyDescent="0.2">
      <c r="A6" s="21" t="s">
        <v>34</v>
      </c>
      <c r="B6" s="25">
        <f>(B5*47%)+B5</f>
        <v>4116</v>
      </c>
      <c r="C6" s="21" t="s">
        <v>34</v>
      </c>
      <c r="D6" s="27">
        <f>(D5*47%)+D5</f>
        <v>4410</v>
      </c>
      <c r="E6" s="21" t="s">
        <v>34</v>
      </c>
      <c r="F6" s="27">
        <f>(F5*47%)+F5</f>
        <v>22050</v>
      </c>
      <c r="G6" s="21"/>
      <c r="H6" s="31"/>
    </row>
    <row r="7" spans="1:26" x14ac:dyDescent="0.2">
      <c r="A7" s="33" t="s">
        <v>41</v>
      </c>
      <c r="B7" s="35">
        <f>+B6/151.67</f>
        <v>27.137865101865895</v>
      </c>
      <c r="C7" s="33" t="s">
        <v>41</v>
      </c>
      <c r="D7" s="37">
        <f>D6/151.67</f>
        <v>29.07628403771346</v>
      </c>
      <c r="E7" s="33" t="s">
        <v>41</v>
      </c>
      <c r="F7" s="37">
        <f>F6/151.67</f>
        <v>145.38142018856729</v>
      </c>
      <c r="G7" s="33"/>
      <c r="H7" s="39"/>
    </row>
    <row r="8" spans="1:26" ht="8.25" customHeight="1" x14ac:dyDescent="0.2">
      <c r="B8" s="41"/>
      <c r="D8" s="28"/>
      <c r="F8" s="28"/>
    </row>
    <row r="9" spans="1:26" x14ac:dyDescent="0.2">
      <c r="A9" s="43" t="s">
        <v>44</v>
      </c>
      <c r="B9" s="41"/>
      <c r="C9" s="45" t="s">
        <v>45</v>
      </c>
      <c r="D9" s="28"/>
      <c r="E9" s="47" t="s">
        <v>46</v>
      </c>
      <c r="F9" s="28"/>
    </row>
    <row r="10" spans="1:26" x14ac:dyDescent="0.2">
      <c r="A10" s="12" t="s">
        <v>14</v>
      </c>
      <c r="B10" s="14">
        <v>4500</v>
      </c>
      <c r="C10" s="12" t="s">
        <v>14</v>
      </c>
      <c r="D10" s="17">
        <v>2200</v>
      </c>
      <c r="E10" s="12" t="s">
        <v>41</v>
      </c>
      <c r="F10" s="17">
        <v>213.23</v>
      </c>
    </row>
    <row r="11" spans="1:26" x14ac:dyDescent="0.2">
      <c r="A11" s="21" t="s">
        <v>34</v>
      </c>
      <c r="B11" s="25">
        <f>+(B10*47%)+B10</f>
        <v>6615</v>
      </c>
      <c r="C11" s="21" t="s">
        <v>34</v>
      </c>
      <c r="D11" s="27">
        <f>(D10*47%)+D10</f>
        <v>3234</v>
      </c>
      <c r="E11" s="21"/>
      <c r="F11" s="27"/>
    </row>
    <row r="12" spans="1:26" x14ac:dyDescent="0.2">
      <c r="A12" s="33" t="s">
        <v>41</v>
      </c>
      <c r="B12" s="35">
        <f>B11/151.67</f>
        <v>43.614426056570188</v>
      </c>
      <c r="C12" s="33" t="s">
        <v>41</v>
      </c>
      <c r="D12" s="37">
        <f>D11/151.67</f>
        <v>21.322608294323203</v>
      </c>
      <c r="E12" s="33"/>
      <c r="F12" s="37"/>
    </row>
    <row r="13" spans="1:26" x14ac:dyDescent="0.2">
      <c r="A13" s="52"/>
      <c r="B13" s="28"/>
      <c r="C13" s="52"/>
      <c r="D13" s="28"/>
      <c r="E13" s="52"/>
      <c r="F13" s="28"/>
    </row>
    <row r="14" spans="1:26" ht="48" x14ac:dyDescent="0.2">
      <c r="A14" s="54" t="s">
        <v>51</v>
      </c>
      <c r="B14" s="56"/>
      <c r="C14" s="56"/>
      <c r="D14" s="57" t="s">
        <v>53</v>
      </c>
      <c r="E14" s="59" t="s">
        <v>54</v>
      </c>
      <c r="F14" s="61" t="s">
        <v>4</v>
      </c>
      <c r="G14" s="54" t="s">
        <v>60</v>
      </c>
      <c r="H14" s="56"/>
      <c r="I14" s="57" t="s">
        <v>61</v>
      </c>
      <c r="J14" s="59" t="s">
        <v>62</v>
      </c>
      <c r="K14" s="61" t="s">
        <v>4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x14ac:dyDescent="0.2">
      <c r="C15" s="62" t="s">
        <v>42</v>
      </c>
      <c r="D15" s="64">
        <v>2</v>
      </c>
      <c r="E15" s="66">
        <f>D7</f>
        <v>29.07628403771346</v>
      </c>
      <c r="F15" s="66">
        <f t="shared" ref="F15:F23" si="0">D15*E15</f>
        <v>58.15256807542692</v>
      </c>
      <c r="H15" s="62" t="s">
        <v>42</v>
      </c>
      <c r="I15" s="64">
        <v>2</v>
      </c>
      <c r="J15" s="66">
        <f>+D7</f>
        <v>29.07628403771346</v>
      </c>
      <c r="K15" s="66">
        <f t="shared" ref="K15:K19" si="1">I15*J15</f>
        <v>58.15256807542692</v>
      </c>
    </row>
    <row r="16" spans="1:26" x14ac:dyDescent="0.2">
      <c r="C16" s="62" t="s">
        <v>47</v>
      </c>
      <c r="D16" s="69">
        <v>1</v>
      </c>
      <c r="E16" s="71">
        <f>D7</f>
        <v>29.07628403771346</v>
      </c>
      <c r="F16" s="71">
        <f t="shared" si="0"/>
        <v>29.07628403771346</v>
      </c>
      <c r="H16" s="62" t="s">
        <v>47</v>
      </c>
      <c r="I16" s="69">
        <v>1</v>
      </c>
      <c r="J16" s="71">
        <f>+D7</f>
        <v>29.07628403771346</v>
      </c>
      <c r="K16" s="71">
        <f t="shared" si="1"/>
        <v>29.07628403771346</v>
      </c>
    </row>
    <row r="17" spans="1:11" x14ac:dyDescent="0.2">
      <c r="C17" s="62" t="s">
        <v>49</v>
      </c>
      <c r="D17" s="69">
        <v>1</v>
      </c>
      <c r="E17" s="71">
        <f>D7</f>
        <v>29.07628403771346</v>
      </c>
      <c r="F17" s="71">
        <f t="shared" si="0"/>
        <v>29.07628403771346</v>
      </c>
      <c r="H17" s="62" t="s">
        <v>58</v>
      </c>
      <c r="I17" s="69">
        <v>1</v>
      </c>
      <c r="J17" s="71">
        <f>+D7</f>
        <v>29.07628403771346</v>
      </c>
      <c r="K17" s="71">
        <f t="shared" si="1"/>
        <v>29.07628403771346</v>
      </c>
    </row>
    <row r="18" spans="1:11" x14ac:dyDescent="0.2">
      <c r="C18" s="62" t="s">
        <v>52</v>
      </c>
      <c r="D18" s="69">
        <v>6</v>
      </c>
      <c r="E18" s="71">
        <f>D7</f>
        <v>29.07628403771346</v>
      </c>
      <c r="F18" s="71">
        <f t="shared" si="0"/>
        <v>174.45770422628075</v>
      </c>
      <c r="H18" s="62" t="s">
        <v>65</v>
      </c>
      <c r="I18" s="69">
        <v>1</v>
      </c>
      <c r="J18" s="71">
        <f>+D7</f>
        <v>29.07628403771346</v>
      </c>
      <c r="K18" s="71">
        <f t="shared" si="1"/>
        <v>29.07628403771346</v>
      </c>
    </row>
    <row r="19" spans="1:11" x14ac:dyDescent="0.2">
      <c r="C19" s="62" t="s">
        <v>55</v>
      </c>
      <c r="D19" s="69">
        <v>0.5</v>
      </c>
      <c r="E19" s="71">
        <f>D7</f>
        <v>29.07628403771346</v>
      </c>
      <c r="F19" s="71">
        <f t="shared" si="0"/>
        <v>14.53814201885673</v>
      </c>
      <c r="H19" s="62" t="s">
        <v>67</v>
      </c>
      <c r="I19" s="69">
        <v>0.5</v>
      </c>
      <c r="J19" s="77">
        <f>+D7</f>
        <v>29.07628403771346</v>
      </c>
      <c r="K19" s="77">
        <f t="shared" si="1"/>
        <v>14.53814201885673</v>
      </c>
    </row>
    <row r="20" spans="1:11" x14ac:dyDescent="0.2">
      <c r="C20" s="62" t="s">
        <v>58</v>
      </c>
      <c r="D20" s="69">
        <v>1</v>
      </c>
      <c r="E20" s="71">
        <f>D7</f>
        <v>29.07628403771346</v>
      </c>
      <c r="F20" s="71">
        <f t="shared" si="0"/>
        <v>29.07628403771346</v>
      </c>
      <c r="H20" s="62"/>
      <c r="I20" s="79"/>
      <c r="J20" s="81" t="s">
        <v>72</v>
      </c>
      <c r="K20" s="83">
        <f>SUM(K15:K19)</f>
        <v>159.91956220742401</v>
      </c>
    </row>
    <row r="21" spans="1:11" ht="15.75" customHeight="1" x14ac:dyDescent="0.2">
      <c r="C21" s="62" t="s">
        <v>63</v>
      </c>
      <c r="D21" s="69">
        <v>1</v>
      </c>
      <c r="E21" s="71">
        <f>D7</f>
        <v>29.07628403771346</v>
      </c>
      <c r="F21" s="71">
        <f t="shared" si="0"/>
        <v>29.07628403771346</v>
      </c>
      <c r="G21" s="85" t="s">
        <v>76</v>
      </c>
      <c r="H21" s="62" t="s">
        <v>79</v>
      </c>
      <c r="I21" s="69">
        <v>1</v>
      </c>
      <c r="J21" s="66">
        <f>+B12</f>
        <v>43.614426056570188</v>
      </c>
      <c r="K21" s="66">
        <f t="shared" ref="K21:K23" si="2">+I21*J21</f>
        <v>43.614426056570188</v>
      </c>
    </row>
    <row r="22" spans="1:11" ht="15.75" customHeight="1" x14ac:dyDescent="0.2">
      <c r="C22" s="62" t="s">
        <v>65</v>
      </c>
      <c r="D22" s="69">
        <v>1</v>
      </c>
      <c r="E22" s="71">
        <f>D7</f>
        <v>29.07628403771346</v>
      </c>
      <c r="F22" s="71">
        <f t="shared" si="0"/>
        <v>29.07628403771346</v>
      </c>
      <c r="H22" s="62" t="s">
        <v>81</v>
      </c>
      <c r="I22" s="69">
        <v>1</v>
      </c>
      <c r="J22" s="71">
        <f>+F7</f>
        <v>145.38142018856729</v>
      </c>
      <c r="K22" s="71">
        <f t="shared" si="2"/>
        <v>145.38142018856729</v>
      </c>
    </row>
    <row r="23" spans="1:11" ht="15.75" customHeight="1" x14ac:dyDescent="0.2">
      <c r="C23" s="62" t="s">
        <v>67</v>
      </c>
      <c r="D23" s="69">
        <v>0.5</v>
      </c>
      <c r="E23" s="77">
        <f>D7</f>
        <v>29.07628403771346</v>
      </c>
      <c r="F23" s="77">
        <f t="shared" si="0"/>
        <v>14.53814201885673</v>
      </c>
      <c r="G23" s="28"/>
      <c r="H23" s="62" t="s">
        <v>83</v>
      </c>
      <c r="I23" s="69">
        <v>0.5</v>
      </c>
      <c r="J23" s="77">
        <f>+F10</f>
        <v>213.23</v>
      </c>
      <c r="K23" s="77">
        <f t="shared" si="2"/>
        <v>106.61499999999999</v>
      </c>
    </row>
    <row r="24" spans="1:11" ht="15.75" customHeight="1" x14ac:dyDescent="0.2">
      <c r="C24" s="62"/>
      <c r="D24" s="79"/>
      <c r="E24" s="81" t="s">
        <v>72</v>
      </c>
      <c r="F24" s="83">
        <f>SUM(F15:F23)</f>
        <v>407.06797652798832</v>
      </c>
      <c r="H24" s="56"/>
      <c r="I24" s="89"/>
      <c r="J24" s="91" t="s">
        <v>88</v>
      </c>
      <c r="K24" s="93">
        <f>SUM(K21:K23)</f>
        <v>295.61084624513745</v>
      </c>
    </row>
    <row r="25" spans="1:11" ht="15.75" customHeight="1" x14ac:dyDescent="0.2">
      <c r="A25" s="85" t="s">
        <v>91</v>
      </c>
      <c r="C25" s="62" t="s">
        <v>79</v>
      </c>
      <c r="D25" s="69">
        <v>1</v>
      </c>
      <c r="E25" s="66">
        <f>+B12</f>
        <v>43.614426056570188</v>
      </c>
      <c r="F25" s="66">
        <f t="shared" ref="F25:F27" si="3">+D25*E25</f>
        <v>43.614426056570188</v>
      </c>
      <c r="H25" s="24"/>
      <c r="I25" s="89"/>
      <c r="J25" s="96" t="s">
        <v>92</v>
      </c>
      <c r="K25" s="98">
        <v>6000</v>
      </c>
    </row>
    <row r="26" spans="1:11" ht="15.75" customHeight="1" x14ac:dyDescent="0.2">
      <c r="C26" s="62" t="s">
        <v>81</v>
      </c>
      <c r="D26" s="69">
        <v>1</v>
      </c>
      <c r="E26" s="71">
        <f>+F7</f>
        <v>145.38142018856729</v>
      </c>
      <c r="F26" s="71">
        <f t="shared" si="3"/>
        <v>145.38142018856729</v>
      </c>
      <c r="J26" s="100" t="s">
        <v>96</v>
      </c>
      <c r="K26" s="102">
        <f>+K20+K24+K25</f>
        <v>6455.5304084525615</v>
      </c>
    </row>
    <row r="27" spans="1:11" ht="15.75" customHeight="1" x14ac:dyDescent="0.2">
      <c r="C27" s="62" t="s">
        <v>83</v>
      </c>
      <c r="D27" s="69">
        <v>0.5</v>
      </c>
      <c r="E27" s="77">
        <f>+F10</f>
        <v>213.23</v>
      </c>
      <c r="F27" s="77">
        <f t="shared" si="3"/>
        <v>106.61499999999999</v>
      </c>
    </row>
    <row r="28" spans="1:11" ht="15.75" customHeight="1" x14ac:dyDescent="0.2">
      <c r="C28" s="56"/>
      <c r="D28" s="89"/>
      <c r="E28" s="91" t="s">
        <v>88</v>
      </c>
      <c r="F28" s="93">
        <f>SUM(F25:F27)</f>
        <v>295.61084624513745</v>
      </c>
    </row>
    <row r="29" spans="1:11" ht="15.75" customHeight="1" x14ac:dyDescent="0.2">
      <c r="C29" s="56"/>
      <c r="D29" s="89"/>
      <c r="E29" s="105" t="s">
        <v>96</v>
      </c>
      <c r="F29" s="106">
        <f>F24+F28</f>
        <v>702.67882277312583</v>
      </c>
    </row>
    <row r="30" spans="1:11" ht="15.75" customHeight="1" x14ac:dyDescent="0.2">
      <c r="C30" s="56"/>
      <c r="D30" s="89"/>
      <c r="E30" s="107"/>
      <c r="F30" s="107"/>
    </row>
    <row r="31" spans="1:11" ht="25.75" customHeight="1" x14ac:dyDescent="0.2">
      <c r="A31" s="24" t="s">
        <v>11</v>
      </c>
      <c r="D31" s="108" t="s">
        <v>53</v>
      </c>
      <c r="E31" s="68" t="s">
        <v>107</v>
      </c>
      <c r="F31" s="34" t="s">
        <v>4</v>
      </c>
      <c r="G31" s="109" t="s">
        <v>108</v>
      </c>
      <c r="I31" s="26" t="s">
        <v>32</v>
      </c>
      <c r="J31" s="29" t="s">
        <v>109</v>
      </c>
      <c r="K31" s="34" t="s">
        <v>4</v>
      </c>
    </row>
    <row r="32" spans="1:11" ht="15.75" customHeight="1" x14ac:dyDescent="0.2">
      <c r="A32" s="2" t="s">
        <v>110</v>
      </c>
      <c r="C32" s="5" t="s">
        <v>43</v>
      </c>
      <c r="D32" s="110">
        <v>2</v>
      </c>
      <c r="E32" s="111">
        <f>D12</f>
        <v>21.322608294323203</v>
      </c>
      <c r="F32" s="112">
        <f t="shared" ref="F32:F33" si="4">D32*E32</f>
        <v>42.645216588646406</v>
      </c>
      <c r="G32" s="2" t="s">
        <v>111</v>
      </c>
      <c r="H32" s="42" t="s">
        <v>112</v>
      </c>
      <c r="I32" s="44" t="s">
        <v>113</v>
      </c>
      <c r="J32" s="113">
        <f>B6</f>
        <v>4116</v>
      </c>
      <c r="K32" s="114">
        <v>24696</v>
      </c>
    </row>
    <row r="33" spans="1:12" ht="15.75" customHeight="1" x14ac:dyDescent="0.2">
      <c r="C33" s="15" t="s">
        <v>48</v>
      </c>
      <c r="D33" s="115">
        <v>1</v>
      </c>
      <c r="E33" s="116">
        <f>D12</f>
        <v>21.322608294323203</v>
      </c>
      <c r="F33" s="117">
        <f t="shared" si="4"/>
        <v>21.322608294323203</v>
      </c>
      <c r="H33" s="51" t="s">
        <v>114</v>
      </c>
      <c r="I33" s="118"/>
      <c r="J33" s="119">
        <f>'Coût recrutement corrigé'!I40</f>
        <v>5571.8901153668667</v>
      </c>
      <c r="K33" s="120">
        <f>J33</f>
        <v>5571.8901153668667</v>
      </c>
    </row>
    <row r="34" spans="1:12" ht="15.75" customHeight="1" x14ac:dyDescent="0.2">
      <c r="D34" s="89"/>
      <c r="E34" s="121" t="s">
        <v>115</v>
      </c>
      <c r="F34" s="83">
        <f>SUM(F32:F33)</f>
        <v>63.967824882969609</v>
      </c>
      <c r="J34" s="122" t="s">
        <v>116</v>
      </c>
      <c r="K34" s="123">
        <f>+K32+K33</f>
        <v>30267.890115366867</v>
      </c>
    </row>
    <row r="35" spans="1:12" ht="28.25" customHeight="1" x14ac:dyDescent="0.2">
      <c r="A35" s="124" t="s">
        <v>117</v>
      </c>
      <c r="D35" s="108" t="s">
        <v>53</v>
      </c>
      <c r="E35" s="125" t="s">
        <v>107</v>
      </c>
      <c r="F35" s="126" t="s">
        <v>4</v>
      </c>
      <c r="G35" s="2" t="s">
        <v>118</v>
      </c>
      <c r="I35" s="108" t="s">
        <v>61</v>
      </c>
      <c r="J35" s="68" t="s">
        <v>107</v>
      </c>
      <c r="K35" s="34" t="s">
        <v>4</v>
      </c>
    </row>
    <row r="36" spans="1:12" ht="15.75" customHeight="1" x14ac:dyDescent="0.2">
      <c r="C36" s="5" t="s">
        <v>59</v>
      </c>
      <c r="D36" s="127">
        <v>8</v>
      </c>
      <c r="E36" s="128">
        <f>B7</f>
        <v>27.137865101865895</v>
      </c>
      <c r="F36" s="46">
        <f t="shared" ref="F36:F39" si="5">D36*E36</f>
        <v>217.10292081492716</v>
      </c>
      <c r="G36" s="2" t="s">
        <v>119</v>
      </c>
      <c r="H36" s="129" t="s">
        <v>94</v>
      </c>
      <c r="I36" s="130">
        <v>0.5</v>
      </c>
      <c r="J36" s="131">
        <f>+D12</f>
        <v>21.322608294323203</v>
      </c>
      <c r="K36" s="132">
        <f t="shared" ref="K36:K37" si="6">+I36*J36</f>
        <v>10.661304147161601</v>
      </c>
      <c r="L36" s="133"/>
    </row>
    <row r="37" spans="1:12" ht="15.75" customHeight="1" x14ac:dyDescent="0.2">
      <c r="C37" s="11" t="s">
        <v>120</v>
      </c>
      <c r="D37" s="134">
        <v>6</v>
      </c>
      <c r="E37" s="135">
        <f>B7</f>
        <v>27.137865101865895</v>
      </c>
      <c r="F37" s="50">
        <f t="shared" si="5"/>
        <v>162.82719061119536</v>
      </c>
      <c r="H37" s="136" t="s">
        <v>97</v>
      </c>
      <c r="I37" s="137">
        <v>1.5</v>
      </c>
      <c r="J37" s="77">
        <f>+D12</f>
        <v>21.322608294323203</v>
      </c>
      <c r="K37" s="138">
        <f t="shared" si="6"/>
        <v>31.983912441484804</v>
      </c>
    </row>
    <row r="38" spans="1:12" ht="15.75" customHeight="1" x14ac:dyDescent="0.2">
      <c r="C38" s="11" t="s">
        <v>66</v>
      </c>
      <c r="D38" s="134">
        <v>3.5</v>
      </c>
      <c r="E38" s="135">
        <f>B7</f>
        <v>27.137865101865895</v>
      </c>
      <c r="F38" s="50">
        <f t="shared" si="5"/>
        <v>94.982527856530638</v>
      </c>
      <c r="J38" s="139" t="s">
        <v>121</v>
      </c>
      <c r="K38" s="140">
        <f>SUM(K36:K37)</f>
        <v>42.645216588646406</v>
      </c>
    </row>
    <row r="39" spans="1:12" ht="15.75" customHeight="1" x14ac:dyDescent="0.2">
      <c r="C39" s="15" t="s">
        <v>68</v>
      </c>
      <c r="D39" s="141">
        <v>10.5</v>
      </c>
      <c r="E39" s="142">
        <f>B7</f>
        <v>27.137865101865895</v>
      </c>
      <c r="F39" s="143">
        <f t="shared" si="5"/>
        <v>284.94758356959187</v>
      </c>
      <c r="J39" s="144" t="s">
        <v>122</v>
      </c>
      <c r="K39" s="145">
        <f>K34+K38</f>
        <v>30310.535331955514</v>
      </c>
    </row>
    <row r="40" spans="1:12" ht="15.75" customHeight="1" x14ac:dyDescent="0.2">
      <c r="C40" s="52"/>
      <c r="D40" s="146"/>
      <c r="E40" s="147" t="s">
        <v>123</v>
      </c>
      <c r="F40" s="148">
        <f>SUM(F36:F39)</f>
        <v>759.86022285224499</v>
      </c>
    </row>
    <row r="41" spans="1:12" ht="30.75" customHeight="1" x14ac:dyDescent="0.2">
      <c r="A41" s="103" t="s">
        <v>124</v>
      </c>
      <c r="C41" s="52"/>
      <c r="D41" s="108" t="s">
        <v>53</v>
      </c>
      <c r="E41" s="125" t="s">
        <v>125</v>
      </c>
      <c r="F41" s="126" t="s">
        <v>4</v>
      </c>
      <c r="G41" s="24" t="s">
        <v>74</v>
      </c>
      <c r="I41" s="26" t="s">
        <v>37</v>
      </c>
      <c r="J41" s="29" t="s">
        <v>126</v>
      </c>
      <c r="K41" s="34" t="s">
        <v>4</v>
      </c>
    </row>
    <row r="42" spans="1:12" ht="15.75" customHeight="1" x14ac:dyDescent="0.2">
      <c r="C42" s="149" t="s">
        <v>127</v>
      </c>
      <c r="D42" s="150">
        <v>3</v>
      </c>
      <c r="E42" s="151">
        <f>B12</f>
        <v>43.614426056570188</v>
      </c>
      <c r="F42" s="152">
        <f t="shared" ref="F42:F43" si="7">D42*E42</f>
        <v>130.84327816971057</v>
      </c>
      <c r="H42" s="42" t="s">
        <v>21</v>
      </c>
      <c r="I42" s="153" t="s">
        <v>78</v>
      </c>
      <c r="J42" s="113">
        <f>B6</f>
        <v>4116</v>
      </c>
      <c r="K42" s="114">
        <f>J42*1</f>
        <v>4116</v>
      </c>
    </row>
    <row r="43" spans="1:12" ht="15" customHeight="1" x14ac:dyDescent="0.2">
      <c r="C43" s="154" t="s">
        <v>128</v>
      </c>
      <c r="D43" s="155">
        <v>2</v>
      </c>
      <c r="E43" s="156">
        <f>B7</f>
        <v>27.137865101865895</v>
      </c>
      <c r="F43" s="157">
        <f t="shared" si="7"/>
        <v>54.27573020373179</v>
      </c>
      <c r="H43" s="158" t="s">
        <v>129</v>
      </c>
      <c r="I43" s="159" t="s">
        <v>130</v>
      </c>
      <c r="J43" s="77">
        <f>B6</f>
        <v>4116</v>
      </c>
      <c r="K43" s="160">
        <f>J43*1.5</f>
        <v>6174</v>
      </c>
    </row>
    <row r="44" spans="1:12" ht="15.75" customHeight="1" x14ac:dyDescent="0.2">
      <c r="C44" s="161" t="s">
        <v>131</v>
      </c>
      <c r="D44" s="162">
        <v>1</v>
      </c>
      <c r="E44" s="163">
        <f>+F7</f>
        <v>145.38142018856729</v>
      </c>
      <c r="F44" s="164">
        <f>+D44*E44</f>
        <v>145.38142018856729</v>
      </c>
      <c r="H44" s="52"/>
      <c r="I44" s="165"/>
      <c r="J44" s="166" t="s">
        <v>132</v>
      </c>
      <c r="K44" s="167">
        <f>SUM(K42:K43)</f>
        <v>10290</v>
      </c>
    </row>
    <row r="45" spans="1:12" ht="15.75" customHeight="1" x14ac:dyDescent="0.2">
      <c r="C45" s="168"/>
      <c r="D45" s="169"/>
      <c r="E45" s="170" t="s">
        <v>133</v>
      </c>
      <c r="F45" s="171">
        <f>SUM(F42:F44)</f>
        <v>330.50042856200969</v>
      </c>
      <c r="H45" s="103" t="s">
        <v>134</v>
      </c>
    </row>
    <row r="46" spans="1:12" ht="15.75" customHeight="1" x14ac:dyDescent="0.2">
      <c r="C46" s="168"/>
      <c r="D46" s="169"/>
      <c r="E46" s="172" t="s">
        <v>135</v>
      </c>
      <c r="F46" s="173">
        <f>F34+F40+F45</f>
        <v>1154.3284762972244</v>
      </c>
    </row>
    <row r="47" spans="1:12" ht="15.75" customHeight="1" x14ac:dyDescent="0.2">
      <c r="C47" s="52"/>
      <c r="D47" s="146"/>
      <c r="E47" s="146"/>
      <c r="F47" s="7"/>
      <c r="H47" s="174" t="s">
        <v>136</v>
      </c>
    </row>
    <row r="48" spans="1:12" ht="15.75" customHeight="1" x14ac:dyDescent="0.2">
      <c r="H48" s="186" t="s">
        <v>137</v>
      </c>
    </row>
    <row r="49" spans="1:4" ht="15.75" customHeight="1" x14ac:dyDescent="0.2"/>
    <row r="50" spans="1:4" ht="15.75" customHeight="1" x14ac:dyDescent="0.2">
      <c r="A50" s="1" t="s">
        <v>138</v>
      </c>
      <c r="D50" s="175" t="s">
        <v>4</v>
      </c>
    </row>
    <row r="51" spans="1:4" ht="15.75" customHeight="1" x14ac:dyDescent="0.2">
      <c r="C51" s="176" t="s">
        <v>7</v>
      </c>
      <c r="D51" s="177">
        <f>F29</f>
        <v>702.67882277312583</v>
      </c>
    </row>
    <row r="52" spans="1:4" ht="15.75" customHeight="1" x14ac:dyDescent="0.2">
      <c r="C52" s="178" t="s">
        <v>11</v>
      </c>
      <c r="D52" s="50">
        <f>F46</f>
        <v>1154.3284762972244</v>
      </c>
    </row>
    <row r="53" spans="1:4" ht="15.75" customHeight="1" x14ac:dyDescent="0.2">
      <c r="C53" s="178" t="s">
        <v>19</v>
      </c>
      <c r="D53" s="179">
        <f>K39</f>
        <v>30310.535331955514</v>
      </c>
    </row>
    <row r="54" spans="1:4" ht="15.75" customHeight="1" x14ac:dyDescent="0.2">
      <c r="C54" s="136" t="s">
        <v>21</v>
      </c>
      <c r="D54" s="180">
        <f>K44</f>
        <v>10290</v>
      </c>
    </row>
    <row r="55" spans="1:4" ht="15.75" customHeight="1" x14ac:dyDescent="0.2">
      <c r="D55" s="181">
        <f>SUM(D51:D54)</f>
        <v>42457.542631025863</v>
      </c>
    </row>
    <row r="56" spans="1:4" ht="15.75" customHeight="1" x14ac:dyDescent="0.2"/>
    <row r="57" spans="1:4" ht="15.75" customHeight="1" x14ac:dyDescent="0.2">
      <c r="A57" s="1" t="s">
        <v>139</v>
      </c>
      <c r="D57" s="4" t="s">
        <v>4</v>
      </c>
    </row>
    <row r="58" spans="1:4" ht="15.75" customHeight="1" x14ac:dyDescent="0.2">
      <c r="C58" s="182" t="s">
        <v>40</v>
      </c>
      <c r="D58" s="9">
        <f>K26</f>
        <v>6455.5304084525615</v>
      </c>
    </row>
    <row r="59" spans="1:4" ht="15.75" customHeight="1" x14ac:dyDescent="0.2">
      <c r="C59" s="183" t="s">
        <v>11</v>
      </c>
      <c r="D59" s="184">
        <f>F46</f>
        <v>1154.3284762972244</v>
      </c>
    </row>
    <row r="60" spans="1:4" ht="15.75" customHeight="1" x14ac:dyDescent="0.2">
      <c r="C60" s="183" t="s">
        <v>19</v>
      </c>
      <c r="D60" s="13">
        <f>K39</f>
        <v>30310.535331955514</v>
      </c>
    </row>
    <row r="61" spans="1:4" ht="15.75" customHeight="1" x14ac:dyDescent="0.2">
      <c r="C61" s="185" t="s">
        <v>21</v>
      </c>
      <c r="D61" s="13">
        <f>K44</f>
        <v>10290</v>
      </c>
    </row>
    <row r="62" spans="1:4" ht="15.75" customHeight="1" x14ac:dyDescent="0.2">
      <c r="D62" s="181">
        <f>SUM(D58:D61)</f>
        <v>48210.394216705303</v>
      </c>
    </row>
    <row r="63" spans="1:4" ht="15.75" customHeight="1" x14ac:dyDescent="0.2"/>
    <row r="64" spans="1:4" ht="15.75" customHeight="1" x14ac:dyDescent="0.2">
      <c r="C64" s="174"/>
    </row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K1"/>
  </mergeCells>
  <pageMargins left="0" right="0.11811023622047245" top="0.35433070866141736" bottom="0.35433070866141736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selection activeCell="I11" sqref="I10:I11"/>
    </sheetView>
  </sheetViews>
  <sheetFormatPr baseColWidth="10" defaultColWidth="14.5" defaultRowHeight="15" customHeight="1" x14ac:dyDescent="0.2"/>
  <cols>
    <col min="1" max="1" width="10.6640625" customWidth="1"/>
    <col min="2" max="2" width="50.33203125" customWidth="1"/>
    <col min="3" max="3" width="11.5" customWidth="1"/>
    <col min="4" max="26" width="10.6640625" customWidth="1"/>
  </cols>
  <sheetData>
    <row r="1" spans="1:11" ht="15" customHeight="1" x14ac:dyDescent="0.2">
      <c r="A1" s="190" t="s">
        <v>141</v>
      </c>
      <c r="B1" s="190"/>
      <c r="C1" s="190"/>
      <c r="D1" s="190"/>
      <c r="E1" s="190"/>
      <c r="F1" s="190"/>
      <c r="G1" s="190"/>
      <c r="H1" s="190"/>
      <c r="I1" s="188"/>
      <c r="J1" s="188"/>
      <c r="K1" s="188"/>
    </row>
    <row r="2" spans="1:11" ht="15" customHeight="1" x14ac:dyDescent="0.2">
      <c r="I2" s="189"/>
      <c r="J2" s="189"/>
      <c r="K2" s="189"/>
    </row>
    <row r="3" spans="1:11" x14ac:dyDescent="0.2">
      <c r="A3" s="1" t="s">
        <v>1</v>
      </c>
      <c r="C3" s="4" t="s">
        <v>4</v>
      </c>
    </row>
    <row r="4" spans="1:11" x14ac:dyDescent="0.2">
      <c r="B4" s="5" t="s">
        <v>7</v>
      </c>
      <c r="C4" s="9">
        <v>702.67882277312583</v>
      </c>
    </row>
    <row r="5" spans="1:11" x14ac:dyDescent="0.2">
      <c r="B5" s="11" t="s">
        <v>11</v>
      </c>
      <c r="C5" s="13">
        <v>1154.3284762972244</v>
      </c>
    </row>
    <row r="6" spans="1:11" x14ac:dyDescent="0.2">
      <c r="B6" s="11" t="s">
        <v>19</v>
      </c>
      <c r="C6" s="13">
        <v>30310.535331955514</v>
      </c>
    </row>
    <row r="7" spans="1:11" x14ac:dyDescent="0.2">
      <c r="B7" s="15" t="s">
        <v>21</v>
      </c>
      <c r="C7" s="16">
        <v>10290</v>
      </c>
    </row>
    <row r="8" spans="1:11" x14ac:dyDescent="0.2">
      <c r="B8" s="18" t="s">
        <v>29</v>
      </c>
      <c r="C8" s="23">
        <v>42457.542631025863</v>
      </c>
    </row>
    <row r="9" spans="1:11" x14ac:dyDescent="0.2">
      <c r="C9" s="28"/>
    </row>
    <row r="10" spans="1:11" x14ac:dyDescent="0.2">
      <c r="A10" s="1" t="s">
        <v>39</v>
      </c>
      <c r="C10" s="30" t="s">
        <v>4</v>
      </c>
    </row>
    <row r="11" spans="1:11" x14ac:dyDescent="0.2">
      <c r="B11" s="5" t="s">
        <v>40</v>
      </c>
      <c r="C11" s="9">
        <v>6455.5304084525615</v>
      </c>
    </row>
    <row r="12" spans="1:11" x14ac:dyDescent="0.2">
      <c r="B12" s="11" t="s">
        <v>11</v>
      </c>
      <c r="C12" s="13">
        <v>1154.3284762972244</v>
      </c>
    </row>
    <row r="13" spans="1:11" x14ac:dyDescent="0.2">
      <c r="B13" s="11" t="s">
        <v>19</v>
      </c>
      <c r="C13" s="13">
        <v>30310.535331955514</v>
      </c>
    </row>
    <row r="14" spans="1:11" x14ac:dyDescent="0.2">
      <c r="B14" s="15" t="s">
        <v>21</v>
      </c>
      <c r="C14" s="16">
        <v>10290</v>
      </c>
    </row>
    <row r="15" spans="1:11" x14ac:dyDescent="0.2">
      <c r="B15" s="18" t="s">
        <v>29</v>
      </c>
      <c r="C15" s="32">
        <v>48210.394216705303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H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tabSelected="1" workbookViewId="0">
      <selection sqref="A1:K1"/>
    </sheetView>
  </sheetViews>
  <sheetFormatPr baseColWidth="10" defaultColWidth="14.5" defaultRowHeight="15" customHeight="1" x14ac:dyDescent="0.2"/>
  <cols>
    <col min="1" max="1" width="46" customWidth="1"/>
    <col min="2" max="2" width="11.6640625" customWidth="1"/>
    <col min="3" max="3" width="27.1640625" customWidth="1"/>
    <col min="4" max="4" width="9.1640625" customWidth="1"/>
    <col min="5" max="5" width="14" customWidth="1"/>
    <col min="6" max="6" width="61.83203125" customWidth="1"/>
    <col min="7" max="7" width="6.83203125" customWidth="1"/>
    <col min="8" max="8" width="23.1640625" customWidth="1"/>
    <col min="9" max="9" width="8.6640625" customWidth="1"/>
    <col min="10" max="26" width="9.1640625" customWidth="1"/>
  </cols>
  <sheetData>
    <row r="1" spans="1:11" ht="15" customHeight="1" x14ac:dyDescent="0.2">
      <c r="A1" s="190" t="s">
        <v>142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x14ac:dyDescent="0.2">
      <c r="A2" s="1" t="s">
        <v>0</v>
      </c>
    </row>
    <row r="4" spans="1:11" x14ac:dyDescent="0.2">
      <c r="A4" s="2" t="s">
        <v>3</v>
      </c>
    </row>
    <row r="5" spans="1:11" x14ac:dyDescent="0.2">
      <c r="I5" s="7"/>
    </row>
    <row r="6" spans="1:11" x14ac:dyDescent="0.2">
      <c r="A6" s="1" t="s">
        <v>9</v>
      </c>
      <c r="C6" s="7">
        <f>3000/151.67</f>
        <v>19.77978505966902</v>
      </c>
      <c r="D6" s="7"/>
      <c r="F6" s="1" t="s">
        <v>12</v>
      </c>
      <c r="I6" s="7">
        <v>2800</v>
      </c>
    </row>
    <row r="7" spans="1:11" x14ac:dyDescent="0.2">
      <c r="A7" s="1" t="s">
        <v>13</v>
      </c>
      <c r="C7" s="7">
        <f>(C6*47%)+C6</f>
        <v>29.07628403771346</v>
      </c>
      <c r="D7" s="7"/>
      <c r="F7" s="1" t="s">
        <v>15</v>
      </c>
      <c r="I7" s="7">
        <f>+(I6*47%)+I6</f>
        <v>4116</v>
      </c>
    </row>
    <row r="8" spans="1:11" x14ac:dyDescent="0.2">
      <c r="A8" s="1" t="s">
        <v>10</v>
      </c>
      <c r="C8" s="7">
        <v>6000</v>
      </c>
      <c r="D8" s="7"/>
      <c r="F8" s="1" t="s">
        <v>16</v>
      </c>
      <c r="I8" s="7">
        <f>I6/151.67</f>
        <v>18.461132722357753</v>
      </c>
    </row>
    <row r="9" spans="1:11" x14ac:dyDescent="0.2">
      <c r="A9" s="1" t="s">
        <v>17</v>
      </c>
      <c r="C9" s="7">
        <f>15000/151.67</f>
        <v>98.898925298345105</v>
      </c>
      <c r="D9" s="7"/>
      <c r="F9" s="1" t="s">
        <v>18</v>
      </c>
      <c r="I9" s="7">
        <f>I8*47%+I8</f>
        <v>27.137865101865899</v>
      </c>
    </row>
    <row r="10" spans="1:11" x14ac:dyDescent="0.2">
      <c r="A10" s="1" t="s">
        <v>13</v>
      </c>
      <c r="C10" s="7">
        <f>(C9*47%)+C9</f>
        <v>145.38142018856729</v>
      </c>
      <c r="D10" s="7"/>
      <c r="F10" s="1" t="s">
        <v>20</v>
      </c>
    </row>
    <row r="11" spans="1:11" x14ac:dyDescent="0.2">
      <c r="A11" s="1" t="s">
        <v>22</v>
      </c>
      <c r="C11" s="7">
        <f>22000/151.67</f>
        <v>145.05175710423947</v>
      </c>
      <c r="D11" s="7"/>
      <c r="F11" s="1" t="s">
        <v>23</v>
      </c>
      <c r="I11">
        <v>4500</v>
      </c>
    </row>
    <row r="12" spans="1:11" x14ac:dyDescent="0.2">
      <c r="A12" s="1" t="s">
        <v>24</v>
      </c>
      <c r="C12" s="7">
        <f>C11*47%+C11</f>
        <v>213.22608294323203</v>
      </c>
      <c r="D12" s="7"/>
      <c r="F12" s="1" t="s">
        <v>25</v>
      </c>
      <c r="I12">
        <f>(I11*22%)+I11</f>
        <v>5490</v>
      </c>
    </row>
    <row r="13" spans="1:11" x14ac:dyDescent="0.2">
      <c r="A13" s="1" t="s">
        <v>26</v>
      </c>
      <c r="C13" s="7">
        <f>2200/151.67</f>
        <v>14.505175710423948</v>
      </c>
      <c r="D13" s="7"/>
      <c r="F13" s="1" t="s">
        <v>27</v>
      </c>
      <c r="I13" s="7">
        <f>I12/151.67</f>
        <v>36.197006659194308</v>
      </c>
    </row>
    <row r="14" spans="1:11" x14ac:dyDescent="0.2">
      <c r="A14" s="1" t="s">
        <v>28</v>
      </c>
      <c r="C14" s="7">
        <f>C13*47%+C13</f>
        <v>21.322608294323203</v>
      </c>
      <c r="D14" s="7"/>
    </row>
    <row r="15" spans="1:11" x14ac:dyDescent="0.2">
      <c r="A15" s="1"/>
      <c r="C15" s="7"/>
      <c r="D15" s="7"/>
    </row>
    <row r="16" spans="1:11" x14ac:dyDescent="0.2">
      <c r="A16" s="1" t="s">
        <v>30</v>
      </c>
      <c r="F16" s="1" t="s">
        <v>31</v>
      </c>
    </row>
    <row r="17" spans="1:11" ht="38.25" customHeight="1" x14ac:dyDescent="0.2">
      <c r="B17" s="20" t="s">
        <v>32</v>
      </c>
      <c r="C17" s="22" t="s">
        <v>35</v>
      </c>
      <c r="D17" s="20" t="s">
        <v>4</v>
      </c>
      <c r="F17" s="24" t="s">
        <v>36</v>
      </c>
      <c r="G17" s="26" t="s">
        <v>37</v>
      </c>
      <c r="H17" s="29" t="s">
        <v>38</v>
      </c>
      <c r="I17" s="34" t="s">
        <v>4</v>
      </c>
    </row>
    <row r="18" spans="1:11" x14ac:dyDescent="0.2">
      <c r="A18" s="36" t="s">
        <v>42</v>
      </c>
      <c r="B18" s="38">
        <v>2</v>
      </c>
      <c r="C18" s="36">
        <v>29.08</v>
      </c>
      <c r="D18" s="40">
        <f t="shared" ref="D18:D26" si="0">B18*C18</f>
        <v>58.16</v>
      </c>
      <c r="F18" s="42" t="s">
        <v>43</v>
      </c>
      <c r="G18" s="44">
        <v>2</v>
      </c>
      <c r="H18" s="44">
        <v>21.32</v>
      </c>
      <c r="I18" s="46">
        <f t="shared" ref="I18:I20" si="1">+H18*G18</f>
        <v>42.64</v>
      </c>
    </row>
    <row r="19" spans="1:11" x14ac:dyDescent="0.2">
      <c r="A19" s="36" t="s">
        <v>47</v>
      </c>
      <c r="B19" s="38">
        <v>1</v>
      </c>
      <c r="C19" s="36">
        <v>29.08</v>
      </c>
      <c r="D19" s="40">
        <f t="shared" si="0"/>
        <v>29.08</v>
      </c>
      <c r="F19" s="48" t="s">
        <v>48</v>
      </c>
      <c r="G19" s="49">
        <v>0.5</v>
      </c>
      <c r="H19" s="49">
        <v>21.32</v>
      </c>
      <c r="I19" s="50">
        <f t="shared" si="1"/>
        <v>10.66</v>
      </c>
    </row>
    <row r="20" spans="1:11" x14ac:dyDescent="0.2">
      <c r="A20" s="36" t="s">
        <v>49</v>
      </c>
      <c r="B20" s="49">
        <v>1</v>
      </c>
      <c r="C20" s="36">
        <v>29.08</v>
      </c>
      <c r="D20" s="40">
        <f t="shared" si="0"/>
        <v>29.08</v>
      </c>
      <c r="F20" s="51" t="s">
        <v>50</v>
      </c>
      <c r="G20" s="53">
        <v>0.5</v>
      </c>
      <c r="H20" s="53">
        <v>21.32</v>
      </c>
      <c r="I20" s="55">
        <f t="shared" si="1"/>
        <v>10.66</v>
      </c>
    </row>
    <row r="21" spans="1:11" x14ac:dyDescent="0.2">
      <c r="A21" s="36" t="s">
        <v>52</v>
      </c>
      <c r="B21" s="49">
        <v>6</v>
      </c>
      <c r="C21" s="36">
        <v>29.08</v>
      </c>
      <c r="D21" s="40">
        <f t="shared" si="0"/>
        <v>174.48</v>
      </c>
      <c r="G21" s="58">
        <f>SUM(G18:G20)</f>
        <v>3</v>
      </c>
      <c r="H21" s="58"/>
      <c r="I21" s="60">
        <f>SUM(I18:I20)</f>
        <v>63.959999999999994</v>
      </c>
    </row>
    <row r="22" spans="1:11" ht="30" customHeight="1" x14ac:dyDescent="0.2">
      <c r="A22" s="36" t="s">
        <v>55</v>
      </c>
      <c r="B22" s="49">
        <v>0.5</v>
      </c>
      <c r="C22" s="36">
        <v>29.08</v>
      </c>
      <c r="D22" s="40">
        <f t="shared" si="0"/>
        <v>14.54</v>
      </c>
      <c r="F22" s="24" t="s">
        <v>56</v>
      </c>
      <c r="G22" s="26" t="s">
        <v>37</v>
      </c>
      <c r="H22" s="29" t="s">
        <v>57</v>
      </c>
      <c r="I22" s="34" t="s">
        <v>4</v>
      </c>
    </row>
    <row r="23" spans="1:11" ht="15.75" customHeight="1" x14ac:dyDescent="0.2">
      <c r="A23" s="36" t="s">
        <v>58</v>
      </c>
      <c r="B23" s="49">
        <v>1</v>
      </c>
      <c r="C23" s="36">
        <v>29.08</v>
      </c>
      <c r="D23" s="40">
        <f t="shared" si="0"/>
        <v>29.08</v>
      </c>
      <c r="F23" s="42" t="s">
        <v>59</v>
      </c>
      <c r="G23" s="44">
        <v>8</v>
      </c>
      <c r="H23" s="44">
        <v>27.14</v>
      </c>
      <c r="I23" s="46">
        <f>G23*H23</f>
        <v>217.12</v>
      </c>
    </row>
    <row r="24" spans="1:11" ht="15.75" customHeight="1" x14ac:dyDescent="0.2">
      <c r="A24" s="36" t="s">
        <v>63</v>
      </c>
      <c r="B24" s="49">
        <v>1</v>
      </c>
      <c r="C24" s="36">
        <v>29.08</v>
      </c>
      <c r="D24" s="40">
        <f t="shared" si="0"/>
        <v>29.08</v>
      </c>
      <c r="F24" s="48" t="s">
        <v>64</v>
      </c>
      <c r="G24" s="49">
        <v>8</v>
      </c>
      <c r="H24" s="49"/>
      <c r="I24" s="50">
        <v>516.16</v>
      </c>
    </row>
    <row r="25" spans="1:11" ht="15.75" customHeight="1" x14ac:dyDescent="0.2">
      <c r="A25" s="36" t="s">
        <v>65</v>
      </c>
      <c r="B25" s="49">
        <v>1</v>
      </c>
      <c r="C25" s="36">
        <v>29.08</v>
      </c>
      <c r="D25" s="40">
        <f t="shared" si="0"/>
        <v>29.08</v>
      </c>
      <c r="F25" s="48" t="s">
        <v>66</v>
      </c>
      <c r="G25" s="49">
        <v>3.5</v>
      </c>
      <c r="H25" s="49">
        <v>27.14</v>
      </c>
      <c r="I25" s="50">
        <f t="shared" ref="I25:I26" si="2">G25*H25</f>
        <v>94.990000000000009</v>
      </c>
    </row>
    <row r="26" spans="1:11" ht="15.75" customHeight="1" x14ac:dyDescent="0.2">
      <c r="A26" s="36" t="s">
        <v>67</v>
      </c>
      <c r="B26" s="49">
        <v>0.5</v>
      </c>
      <c r="C26" s="36">
        <v>29.08</v>
      </c>
      <c r="D26" s="63">
        <f t="shared" si="0"/>
        <v>14.54</v>
      </c>
      <c r="F26" s="51" t="s">
        <v>68</v>
      </c>
      <c r="G26" s="53">
        <v>10.5</v>
      </c>
      <c r="H26" s="53">
        <v>27.14</v>
      </c>
      <c r="I26" s="55">
        <f t="shared" si="2"/>
        <v>284.97000000000003</v>
      </c>
    </row>
    <row r="27" spans="1:11" ht="15.75" customHeight="1" x14ac:dyDescent="0.2">
      <c r="B27" s="58">
        <f>SUM(B18:B26)</f>
        <v>14</v>
      </c>
      <c r="D27" s="65">
        <f>SUM(D18:D26)</f>
        <v>407.11999999999995</v>
      </c>
      <c r="G27" s="58">
        <f>SUM(G23:G26)</f>
        <v>30</v>
      </c>
      <c r="H27" s="58"/>
      <c r="I27" s="60">
        <f>SUM(I23:I26)</f>
        <v>1113.24</v>
      </c>
      <c r="K27" s="7">
        <f>I27+I21</f>
        <v>1177.2</v>
      </c>
    </row>
    <row r="28" spans="1:11" ht="33.5" customHeight="1" x14ac:dyDescent="0.2">
      <c r="B28" s="58"/>
      <c r="D28" s="65"/>
      <c r="F28" s="52"/>
      <c r="G28" s="67" t="s">
        <v>32</v>
      </c>
      <c r="H28" s="68" t="s">
        <v>69</v>
      </c>
      <c r="I28" s="34" t="s">
        <v>4</v>
      </c>
    </row>
    <row r="29" spans="1:11" ht="15.75" customHeight="1" x14ac:dyDescent="0.2">
      <c r="B29" s="58"/>
      <c r="D29" s="65"/>
      <c r="F29" s="70" t="s">
        <v>70</v>
      </c>
      <c r="G29" s="72">
        <v>2</v>
      </c>
      <c r="H29" s="73">
        <f>C10</f>
        <v>145.38142018856729</v>
      </c>
      <c r="I29" s="74">
        <f>G29*C10</f>
        <v>290.76284037713458</v>
      </c>
    </row>
    <row r="30" spans="1:11" ht="26.5" customHeight="1" x14ac:dyDescent="0.2">
      <c r="B30" s="75" t="s">
        <v>32</v>
      </c>
      <c r="C30" s="22" t="s">
        <v>71</v>
      </c>
      <c r="D30" s="76" t="s">
        <v>4</v>
      </c>
      <c r="G30" s="78">
        <f>SUM(G29)</f>
        <v>2</v>
      </c>
      <c r="H30" s="78"/>
      <c r="I30" s="80">
        <f>SUM(I29)</f>
        <v>290.76284037713458</v>
      </c>
    </row>
    <row r="31" spans="1:11" ht="27.75" customHeight="1" x14ac:dyDescent="0.2">
      <c r="A31" s="36" t="s">
        <v>73</v>
      </c>
      <c r="B31" s="49">
        <v>1</v>
      </c>
      <c r="C31" s="63">
        <f>C10</f>
        <v>145.38142018856729</v>
      </c>
      <c r="D31" s="82">
        <f>B31*C10</f>
        <v>145.38142018856729</v>
      </c>
      <c r="F31" s="24" t="s">
        <v>74</v>
      </c>
      <c r="G31" s="84" t="s">
        <v>37</v>
      </c>
      <c r="H31" s="59" t="s">
        <v>75</v>
      </c>
      <c r="I31" s="61" t="s">
        <v>4</v>
      </c>
    </row>
    <row r="32" spans="1:11" ht="29.25" customHeight="1" x14ac:dyDescent="0.2">
      <c r="A32" s="36"/>
      <c r="B32" s="75" t="s">
        <v>32</v>
      </c>
      <c r="C32" s="22" t="s">
        <v>77</v>
      </c>
      <c r="D32" s="76" t="s">
        <v>4</v>
      </c>
      <c r="F32" s="62" t="s">
        <v>74</v>
      </c>
      <c r="G32" s="64" t="s">
        <v>78</v>
      </c>
      <c r="H32" s="86"/>
      <c r="I32" s="87">
        <f>I7*1</f>
        <v>4116</v>
      </c>
    </row>
    <row r="33" spans="1:26" ht="15.75" customHeight="1" x14ac:dyDescent="0.2">
      <c r="A33" s="36" t="s">
        <v>80</v>
      </c>
      <c r="B33" s="49">
        <v>0.5</v>
      </c>
      <c r="C33" s="63">
        <f>C12</f>
        <v>213.22608294323203</v>
      </c>
      <c r="D33" s="82">
        <f>B33*C12</f>
        <v>106.61304147161601</v>
      </c>
      <c r="F33" s="62" t="s">
        <v>82</v>
      </c>
      <c r="G33" s="69">
        <v>1.5</v>
      </c>
      <c r="H33" s="62"/>
      <c r="I33" s="75">
        <f>G33*I7</f>
        <v>6174</v>
      </c>
      <c r="J33" t="s">
        <v>84</v>
      </c>
    </row>
    <row r="34" spans="1:26" ht="15.75" customHeight="1" x14ac:dyDescent="0.2">
      <c r="D34" s="65">
        <f>+D31+D33</f>
        <v>251.9944616601833</v>
      </c>
      <c r="I34" s="58">
        <f>SUM(I32:I33)</f>
        <v>10290</v>
      </c>
    </row>
    <row r="35" spans="1:26" ht="15.75" customHeight="1" x14ac:dyDescent="0.2">
      <c r="C35" s="7"/>
      <c r="D35" s="7"/>
      <c r="I35" s="58"/>
    </row>
    <row r="36" spans="1:26" ht="15.75" customHeight="1" x14ac:dyDescent="0.2">
      <c r="A36" s="1" t="s">
        <v>85</v>
      </c>
      <c r="C36" s="7"/>
      <c r="D36" s="7"/>
    </row>
    <row r="37" spans="1:26" ht="24" customHeight="1" x14ac:dyDescent="0.2">
      <c r="A37" s="24"/>
      <c r="B37" s="84" t="s">
        <v>32</v>
      </c>
      <c r="C37" s="59" t="s">
        <v>86</v>
      </c>
      <c r="D37" s="88" t="s">
        <v>4</v>
      </c>
      <c r="E37" s="56"/>
      <c r="F37" s="90" t="s">
        <v>87</v>
      </c>
      <c r="G37" s="92"/>
      <c r="H37" s="92" t="s">
        <v>89</v>
      </c>
      <c r="I37" s="92">
        <f>4116/12*6</f>
        <v>2058</v>
      </c>
      <c r="J37" s="56"/>
      <c r="K37" s="56">
        <f>4116/21.67</f>
        <v>189.94000922934933</v>
      </c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15.75" customHeight="1" x14ac:dyDescent="0.2">
      <c r="A38" s="94" t="s">
        <v>90</v>
      </c>
      <c r="B38" s="95">
        <v>6</v>
      </c>
      <c r="C38" s="95">
        <v>4116</v>
      </c>
      <c r="D38" s="97">
        <f>B38*C38</f>
        <v>24696</v>
      </c>
      <c r="H38" t="s">
        <v>93</v>
      </c>
      <c r="I38" s="2">
        <f>6*189.94</f>
        <v>1139.6399999999999</v>
      </c>
    </row>
    <row r="39" spans="1:26" ht="15.75" customHeight="1" x14ac:dyDescent="0.2">
      <c r="A39" s="94" t="s">
        <v>94</v>
      </c>
      <c r="B39" s="36">
        <v>0.5</v>
      </c>
      <c r="C39" s="95">
        <v>27.14</v>
      </c>
      <c r="D39" s="99">
        <f>B39*C14</f>
        <v>10.661304147161601</v>
      </c>
      <c r="E39" s="7">
        <f>D39+D40</f>
        <v>42.645216588646406</v>
      </c>
      <c r="H39" t="s">
        <v>95</v>
      </c>
      <c r="I39" s="2">
        <f>+K37*12.5</f>
        <v>2374.2501153668668</v>
      </c>
    </row>
    <row r="40" spans="1:26" ht="15.75" customHeight="1" x14ac:dyDescent="0.2">
      <c r="A40" s="94" t="s">
        <v>97</v>
      </c>
      <c r="B40" s="36">
        <v>1.5</v>
      </c>
      <c r="C40" s="95">
        <v>4116</v>
      </c>
      <c r="D40" s="99">
        <f>B40*C14</f>
        <v>31.983912441484804</v>
      </c>
      <c r="H40" s="1" t="s">
        <v>98</v>
      </c>
      <c r="I40" s="85">
        <f>SUM(I37:I39)</f>
        <v>5571.8901153668667</v>
      </c>
    </row>
    <row r="41" spans="1:26" ht="15.75" customHeight="1" x14ac:dyDescent="0.2">
      <c r="A41" s="94" t="s">
        <v>99</v>
      </c>
      <c r="B41" s="36"/>
      <c r="C41" s="36"/>
      <c r="D41" s="94">
        <v>5571.89</v>
      </c>
      <c r="I41" s="2"/>
    </row>
    <row r="42" spans="1:26" ht="15.75" customHeight="1" x14ac:dyDescent="0.2">
      <c r="D42" s="101">
        <f>SUM(D38:D41)</f>
        <v>30310.535216588647</v>
      </c>
      <c r="I42" s="2"/>
    </row>
    <row r="43" spans="1:26" ht="15.75" customHeight="1" x14ac:dyDescent="0.2">
      <c r="A43" s="1" t="s">
        <v>100</v>
      </c>
      <c r="B43">
        <v>1.5</v>
      </c>
    </row>
    <row r="44" spans="1:26" ht="65.25" customHeight="1" x14ac:dyDescent="0.2">
      <c r="A44" s="1" t="s">
        <v>101</v>
      </c>
      <c r="C44" s="1">
        <f>I7*1.5</f>
        <v>6174</v>
      </c>
      <c r="D44" s="191" t="s">
        <v>102</v>
      </c>
      <c r="E44" s="192"/>
      <c r="F44" s="192"/>
    </row>
    <row r="45" spans="1:26" ht="15.75" customHeight="1" x14ac:dyDescent="0.2"/>
    <row r="46" spans="1:26" ht="15.75" customHeight="1" x14ac:dyDescent="0.2"/>
    <row r="47" spans="1:26" ht="15.75" customHeight="1" x14ac:dyDescent="0.2">
      <c r="A47" t="s">
        <v>103</v>
      </c>
      <c r="B47" s="104">
        <f>D27+D34+I21+I27+I34</f>
        <v>12126.314461660184</v>
      </c>
      <c r="E47" t="s">
        <v>104</v>
      </c>
      <c r="F47" s="104">
        <f>B47+D42+C44</f>
        <v>48610.849678248829</v>
      </c>
    </row>
    <row r="48" spans="1:26" ht="15.75" customHeight="1" x14ac:dyDescent="0.2">
      <c r="A48" t="s">
        <v>105</v>
      </c>
      <c r="B48" s="104">
        <f>C8+D34+I21+I27+I34</f>
        <v>17719.194461660183</v>
      </c>
      <c r="E48" t="s">
        <v>104</v>
      </c>
      <c r="F48" s="104">
        <f>B48+D42+C44-2000</f>
        <v>52203.729678248827</v>
      </c>
      <c r="G48" s="85" t="s">
        <v>106</v>
      </c>
    </row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">
    <mergeCell ref="D44:F44"/>
    <mergeCell ref="A1:K1"/>
  </mergeCells>
  <pageMargins left="0.31496062992125984" right="0.31496062992125984" top="0.35433070866141736" bottom="0.35433070866141736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Coût d'un recrutement détaillé</vt:lpstr>
      <vt:lpstr>Synthèse coût recrutement</vt:lpstr>
      <vt:lpstr>Coût recrutement corrigé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Viellard, Marine</dc:creator>
  <cp:lastModifiedBy>Utilisateur Microsoft Office</cp:lastModifiedBy>
  <cp:lastPrinted>2019-04-19T21:47:11Z</cp:lastPrinted>
  <dcterms:created xsi:type="dcterms:W3CDTF">2019-04-18T17:28:30Z</dcterms:created>
  <dcterms:modified xsi:type="dcterms:W3CDTF">2019-04-19T21:47:11Z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